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23880" yWindow="-120" windowWidth="21840" windowHeight="11760" tabRatio="752" activeTab="1"/>
  </bookViews>
  <sheets>
    <sheet name="CAPA" sheetId="8" r:id="rId1"/>
    <sheet name="ORCA" sheetId="1" r:id="rId2"/>
    <sheet name="Não Financiável" sheetId="9" r:id="rId3"/>
    <sheet name="Financiável" sheetId="10" r:id="rId4"/>
    <sheet name="RESUMO" sheetId="2" r:id="rId5"/>
    <sheet name="CRONOGRAMA" sheetId="3" r:id="rId6"/>
    <sheet name="BDI" sheetId="4" r:id="rId7"/>
    <sheet name="CPU" sheetId="7" r:id="rId8"/>
    <sheet name="INCC-C" sheetId="11" r:id="rId9"/>
    <sheet name="Curva ABC" sheetId="13" r:id="rId10"/>
  </sheets>
  <externalReferences>
    <externalReference r:id="rId11"/>
    <externalReference r:id="rId12"/>
    <externalReference r:id="rId13"/>
    <externalReference r:id="rId14"/>
    <externalReference r:id="rId15"/>
  </externalReferences>
  <definedNames>
    <definedName name="_xlnm._FilterDatabase" localSheetId="1" hidden="1">ORCA!$B$18:$H$702</definedName>
    <definedName name="_xlnm.Print_Area" localSheetId="6">BDI!$A$1:$E$52</definedName>
    <definedName name="_xlnm.Print_Area" localSheetId="0">CAPA!$A$1:$P$56</definedName>
    <definedName name="_xlnm.Print_Area" localSheetId="5">CRONOGRAMA!$A$1:$S$99</definedName>
    <definedName name="_xlnm.Print_Area" localSheetId="4">RESUMO!$A$1:$E$69</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97" i="1"/>
  <c r="H695"/>
  <c r="H694"/>
  <c r="H693"/>
  <c r="H692"/>
  <c r="H691"/>
  <c r="H690"/>
  <c r="H689"/>
  <c r="H688"/>
  <c r="H687"/>
  <c r="H686"/>
  <c r="H685"/>
  <c r="H681"/>
  <c r="H679"/>
  <c r="H677"/>
  <c r="H675"/>
  <c r="H674"/>
  <c r="H670"/>
  <c r="H668"/>
  <c r="H667"/>
  <c r="H666"/>
  <c r="H665"/>
  <c r="H664"/>
  <c r="H663"/>
  <c r="H662"/>
  <c r="H660"/>
  <c r="H658"/>
  <c r="H656"/>
  <c r="H654"/>
  <c r="H653"/>
  <c r="H650"/>
  <c r="H649"/>
  <c r="H648"/>
  <c r="H647"/>
  <c r="H646"/>
  <c r="H645"/>
  <c r="H644"/>
  <c r="H643"/>
  <c r="H642"/>
  <c r="H641"/>
  <c r="H640"/>
  <c r="H639"/>
  <c r="H638"/>
  <c r="H637"/>
  <c r="H636"/>
  <c r="H635"/>
  <c r="H634"/>
  <c r="H628"/>
  <c r="H627"/>
  <c r="H626"/>
  <c r="H623"/>
  <c r="H622"/>
  <c r="H616"/>
  <c r="H615"/>
  <c r="H614"/>
  <c r="H613"/>
  <c r="H612"/>
  <c r="H611"/>
  <c r="H609"/>
  <c r="H608"/>
  <c r="H606"/>
  <c r="H605"/>
  <c r="H604"/>
  <c r="H603"/>
  <c r="H602"/>
  <c r="H601"/>
  <c r="H600"/>
  <c r="H599"/>
  <c r="H598"/>
  <c r="H597"/>
  <c r="H596"/>
  <c r="H594"/>
  <c r="H593"/>
  <c r="H592"/>
  <c r="H591"/>
  <c r="H589"/>
  <c r="H585"/>
  <c r="H584"/>
  <c r="H583"/>
  <c r="H582"/>
  <c r="H580"/>
  <c r="H579"/>
  <c r="H578"/>
  <c r="H577"/>
  <c r="H576"/>
  <c r="H575"/>
  <c r="H574"/>
  <c r="H573"/>
  <c r="H572"/>
  <c r="H571"/>
  <c r="H570"/>
  <c r="H569"/>
  <c r="H568"/>
  <c r="H567"/>
  <c r="H566"/>
  <c r="H564"/>
  <c r="H563"/>
  <c r="H561"/>
  <c r="H560"/>
  <c r="H559"/>
  <c r="H558"/>
  <c r="H557"/>
  <c r="H553"/>
  <c r="H552"/>
  <c r="H551"/>
  <c r="H548"/>
  <c r="H547"/>
  <c r="H546"/>
  <c r="H545"/>
  <c r="H543"/>
  <c r="H542"/>
  <c r="H541"/>
  <c r="H540"/>
  <c r="H538"/>
  <c r="H537"/>
  <c r="H536"/>
  <c r="H535"/>
  <c r="H534"/>
  <c r="H533"/>
  <c r="H529"/>
  <c r="H528"/>
  <c r="H527"/>
  <c r="H526"/>
  <c r="H525"/>
  <c r="H524"/>
  <c r="H523"/>
  <c r="H522"/>
  <c r="H520"/>
  <c r="H519"/>
  <c r="H518"/>
  <c r="H517"/>
  <c r="H516"/>
  <c r="H515"/>
  <c r="H513"/>
  <c r="H512"/>
  <c r="H511"/>
  <c r="H510"/>
  <c r="H509"/>
  <c r="H508"/>
  <c r="H506"/>
  <c r="H505"/>
  <c r="H504"/>
  <c r="H503"/>
  <c r="H502"/>
  <c r="H501"/>
  <c r="H500"/>
  <c r="H499"/>
  <c r="H498"/>
  <c r="H497"/>
  <c r="H495"/>
  <c r="H494"/>
  <c r="H493"/>
  <c r="H492"/>
  <c r="H491"/>
  <c r="H490"/>
  <c r="H489"/>
  <c r="H488"/>
  <c r="H487"/>
  <c r="H486"/>
  <c r="H484"/>
  <c r="H481"/>
  <c r="H479"/>
  <c r="H478"/>
  <c r="H476"/>
  <c r="H474"/>
  <c r="H468"/>
  <c r="H467"/>
  <c r="H465"/>
  <c r="H464"/>
  <c r="H463"/>
  <c r="H462"/>
  <c r="H461"/>
  <c r="H460"/>
  <c r="H458"/>
  <c r="H457"/>
  <c r="H456"/>
  <c r="H455"/>
  <c r="H454"/>
  <c r="H453"/>
  <c r="H452"/>
  <c r="H451"/>
  <c r="H450"/>
  <c r="H449"/>
  <c r="H448"/>
  <c r="H447"/>
  <c r="H446"/>
  <c r="H445"/>
  <c r="H444"/>
  <c r="H443"/>
  <c r="H442"/>
  <c r="H441"/>
  <c r="H440"/>
  <c r="H439"/>
  <c r="H438"/>
  <c r="H437"/>
  <c r="H433"/>
  <c r="H432"/>
  <c r="H431"/>
  <c r="H430"/>
  <c r="H429"/>
  <c r="H428"/>
  <c r="H426"/>
  <c r="H425"/>
  <c r="H423"/>
  <c r="H422"/>
  <c r="H420"/>
  <c r="H419"/>
  <c r="H418"/>
  <c r="H417"/>
  <c r="H416"/>
  <c r="H415"/>
  <c r="H414"/>
  <c r="H410"/>
  <c r="H409"/>
  <c r="H407"/>
  <c r="H406"/>
  <c r="H405"/>
  <c r="H404"/>
  <c r="H403"/>
  <c r="H402"/>
  <c r="H401"/>
  <c r="H400"/>
  <c r="H399"/>
  <c r="H398"/>
  <c r="H397"/>
  <c r="H396"/>
  <c r="H395"/>
  <c r="H394"/>
  <c r="H393"/>
  <c r="H392"/>
  <c r="H391"/>
  <c r="H388"/>
  <c r="H387"/>
  <c r="H386"/>
  <c r="H385"/>
  <c r="H384"/>
  <c r="H383"/>
  <c r="H382"/>
  <c r="H381"/>
  <c r="H380"/>
  <c r="H379"/>
  <c r="H378"/>
  <c r="H377"/>
  <c r="H376"/>
  <c r="H375"/>
  <c r="H374"/>
  <c r="H373"/>
  <c r="H372"/>
  <c r="H371"/>
  <c r="H370"/>
  <c r="H369"/>
  <c r="H368"/>
  <c r="H367"/>
  <c r="H366"/>
  <c r="H364"/>
  <c r="H363"/>
  <c r="H362"/>
  <c r="H361"/>
  <c r="H360"/>
  <c r="H359"/>
  <c r="H358"/>
  <c r="H357"/>
  <c r="H356"/>
  <c r="H355"/>
  <c r="H354"/>
  <c r="H353"/>
  <c r="H352"/>
  <c r="H346"/>
  <c r="H345"/>
  <c r="H344"/>
  <c r="H341"/>
  <c r="H340"/>
  <c r="H338"/>
  <c r="H337"/>
  <c r="H335"/>
  <c r="H333"/>
  <c r="H331"/>
  <c r="H330"/>
  <c r="H328"/>
  <c r="H327"/>
  <c r="H323"/>
  <c r="H322"/>
  <c r="H321"/>
  <c r="H320"/>
  <c r="H317"/>
  <c r="H316"/>
  <c r="H315"/>
  <c r="H312"/>
  <c r="H311"/>
  <c r="H310"/>
  <c r="H309"/>
  <c r="H308"/>
  <c r="H307"/>
  <c r="H306"/>
  <c r="H303"/>
  <c r="H302"/>
  <c r="H300"/>
  <c r="H298"/>
  <c r="H294"/>
  <c r="H293"/>
  <c r="H292"/>
  <c r="H291"/>
  <c r="H290"/>
  <c r="H289"/>
  <c r="H288"/>
  <c r="H287"/>
  <c r="H286"/>
  <c r="H285"/>
  <c r="H284"/>
  <c r="H283"/>
  <c r="H280"/>
  <c r="H277"/>
  <c r="H276"/>
  <c r="H275"/>
  <c r="H274"/>
  <c r="H273"/>
  <c r="H272"/>
  <c r="H271"/>
  <c r="H270"/>
  <c r="H269"/>
  <c r="H266"/>
  <c r="H265"/>
  <c r="H262"/>
  <c r="H261"/>
  <c r="H260"/>
  <c r="H259"/>
  <c r="H258"/>
  <c r="H257"/>
  <c r="H254"/>
  <c r="H253"/>
  <c r="H252"/>
  <c r="H248"/>
  <c r="H246"/>
  <c r="H242"/>
  <c r="H240"/>
  <c r="H239"/>
  <c r="H238"/>
  <c r="H234"/>
  <c r="H233"/>
  <c r="H232"/>
  <c r="H228"/>
  <c r="H227"/>
  <c r="H225"/>
  <c r="H224"/>
  <c r="H223"/>
  <c r="H222"/>
  <c r="H221"/>
  <c r="H220"/>
  <c r="H218"/>
  <c r="H217"/>
  <c r="H216"/>
  <c r="H215"/>
  <c r="H214"/>
  <c r="H213"/>
  <c r="H212"/>
  <c r="H211"/>
  <c r="H210"/>
  <c r="H209"/>
  <c r="H208"/>
  <c r="H207"/>
  <c r="H206"/>
  <c r="H205"/>
  <c r="H204"/>
  <c r="H203"/>
  <c r="H202"/>
  <c r="H200"/>
  <c r="H198"/>
  <c r="H196"/>
  <c r="H195"/>
  <c r="H194"/>
  <c r="H193"/>
  <c r="H189"/>
  <c r="H187"/>
  <c r="H186"/>
  <c r="H184"/>
  <c r="H182"/>
  <c r="H181"/>
  <c r="H180"/>
  <c r="H179"/>
  <c r="H172"/>
  <c r="H171"/>
  <c r="H167"/>
  <c r="H166"/>
  <c r="H164"/>
  <c r="H163"/>
  <c r="H162"/>
  <c r="H161"/>
  <c r="H159"/>
  <c r="H157"/>
  <c r="H156"/>
  <c r="H155"/>
  <c r="H153"/>
  <c r="H150"/>
  <c r="H148"/>
  <c r="H147"/>
  <c r="H145"/>
  <c r="H144"/>
  <c r="H141"/>
  <c r="H139"/>
  <c r="H138"/>
  <c r="H137"/>
  <c r="H136"/>
  <c r="H134"/>
  <c r="H131"/>
  <c r="H130"/>
  <c r="H128"/>
  <c r="H126"/>
  <c r="H125"/>
  <c r="H123"/>
  <c r="H120"/>
  <c r="H118"/>
  <c r="H117"/>
  <c r="H116"/>
  <c r="H115"/>
  <c r="H114"/>
  <c r="H113"/>
  <c r="H112"/>
  <c r="H111"/>
  <c r="H109"/>
  <c r="H106"/>
  <c r="H104"/>
  <c r="H103"/>
  <c r="H102"/>
  <c r="H101"/>
  <c r="H100"/>
  <c r="H99"/>
  <c r="H97"/>
  <c r="H91"/>
  <c r="H89"/>
  <c r="H87"/>
  <c r="H86"/>
  <c r="H85"/>
  <c r="H84"/>
  <c r="H83"/>
  <c r="H82"/>
  <c r="H80"/>
  <c r="H79"/>
  <c r="H77"/>
  <c r="H73"/>
  <c r="H72"/>
  <c r="H71"/>
  <c r="H70"/>
  <c r="H68"/>
  <c r="H67"/>
  <c r="H66"/>
  <c r="H65"/>
  <c r="H64"/>
  <c r="H63"/>
  <c r="H62"/>
  <c r="H61"/>
  <c r="H60"/>
  <c r="H59"/>
  <c r="H58"/>
  <c r="H51"/>
  <c r="H49"/>
  <c r="H48"/>
  <c r="H47"/>
  <c r="H46"/>
  <c r="H44"/>
  <c r="H42"/>
  <c r="H41"/>
  <c r="H39"/>
  <c r="H38"/>
  <c r="H37"/>
  <c r="H36"/>
  <c r="H34"/>
  <c r="H33"/>
  <c r="H32"/>
  <c r="H31"/>
  <c r="H30"/>
  <c r="H29"/>
  <c r="H28"/>
  <c r="H27"/>
  <c r="H26"/>
  <c r="H21"/>
  <c r="B57" i="13" l="1"/>
  <c r="B56"/>
  <c r="B55"/>
  <c r="B54"/>
  <c r="B53"/>
  <c r="B51"/>
  <c r="B50"/>
  <c r="B47"/>
  <c r="B49"/>
  <c r="B48"/>
  <c r="B44"/>
  <c r="B46"/>
  <c r="B43"/>
  <c r="B42"/>
  <c r="B40"/>
  <c r="B38"/>
  <c r="B39"/>
  <c r="B37"/>
  <c r="B36"/>
  <c r="B35"/>
  <c r="B34"/>
  <c r="B33"/>
  <c r="B32"/>
  <c r="B31"/>
  <c r="B30"/>
  <c r="B27"/>
  <c r="B28"/>
  <c r="B29"/>
  <c r="B25"/>
  <c r="B26"/>
  <c r="B24"/>
  <c r="B23"/>
  <c r="B22"/>
  <c r="B20"/>
  <c r="B19"/>
  <c r="B17"/>
  <c r="B16"/>
  <c r="H4" i="7"/>
  <c r="G1140" l="1"/>
  <c r="G1139"/>
  <c r="G1138"/>
  <c r="G1137"/>
  <c r="G1134"/>
  <c r="G1109" l="1"/>
  <c r="G1106"/>
  <c r="H1144" l="1"/>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48"/>
  <c r="H1149"/>
  <c r="H1150"/>
  <c r="H1151"/>
  <c r="H1152"/>
  <c r="H1153"/>
  <c r="H1154"/>
  <c r="H1155"/>
  <c r="H1156"/>
  <c r="H1157"/>
  <c r="H1158"/>
  <c r="H1162"/>
  <c r="H1163"/>
  <c r="H1164"/>
  <c r="H1165"/>
  <c r="H1166"/>
  <c r="H1167"/>
  <c r="H1168"/>
  <c r="H1172"/>
  <c r="H1173"/>
  <c r="H1174"/>
  <c r="G40" i="9"/>
  <c r="G681" i="1"/>
  <c r="G677"/>
  <c r="G665" i="10"/>
  <c r="G603"/>
  <c r="G615" i="1"/>
  <c r="G603"/>
  <c r="G602"/>
  <c r="G601"/>
  <c r="G591" i="10"/>
  <c r="G590"/>
  <c r="G589"/>
  <c r="G381"/>
  <c r="G351"/>
  <c r="G393" i="1"/>
  <c r="G363"/>
  <c r="G335"/>
  <c r="G315"/>
  <c r="G327"/>
  <c r="G322"/>
  <c r="G315" i="10"/>
  <c r="G310"/>
  <c r="G303"/>
  <c r="G247"/>
  <c r="G259" i="1"/>
  <c r="G211" i="10"/>
  <c r="G223" i="1"/>
  <c r="G114" i="10"/>
  <c r="G113"/>
  <c r="G126" i="1"/>
  <c r="G125"/>
  <c r="G106" i="10"/>
  <c r="G105"/>
  <c r="G104"/>
  <c r="G103"/>
  <c r="G102"/>
  <c r="G101"/>
  <c r="G100"/>
  <c r="G94"/>
  <c r="G92"/>
  <c r="G91"/>
  <c r="G90"/>
  <c r="G89"/>
  <c r="G88"/>
  <c r="G87"/>
  <c r="G106" i="1"/>
  <c r="G118"/>
  <c r="G117"/>
  <c r="G116"/>
  <c r="G115"/>
  <c r="G114"/>
  <c r="G113"/>
  <c r="G112"/>
  <c r="G104"/>
  <c r="G103"/>
  <c r="G102"/>
  <c r="G101"/>
  <c r="G100"/>
  <c r="G99"/>
  <c r="G1614" i="7"/>
  <c r="G1599"/>
  <c r="G1583"/>
  <c r="G1515"/>
  <c r="G1238"/>
  <c r="G1227"/>
  <c r="G1218"/>
  <c r="G1209"/>
  <c r="G1200"/>
  <c r="G1191"/>
  <c r="G1182"/>
  <c r="G1086"/>
  <c r="G1061"/>
  <c r="G1019"/>
  <c r="G911"/>
  <c r="G584" i="10"/>
  <c r="G1649" i="7"/>
  <c r="G1648"/>
  <c r="G1632"/>
  <c r="G1598"/>
  <c r="G1582"/>
  <c r="G1578"/>
  <c r="H1145" l="1"/>
  <c r="H1159"/>
  <c r="H1169"/>
  <c r="G1563"/>
  <c r="G1557"/>
  <c r="G1537"/>
  <c r="G1535"/>
  <c r="G1519"/>
  <c r="G1517"/>
  <c r="G1508"/>
  <c r="G1489"/>
  <c r="G1479"/>
  <c r="G1478"/>
  <c r="G1477"/>
  <c r="G1475"/>
  <c r="G1474"/>
  <c r="G1470"/>
  <c r="G1463"/>
  <c r="G1462"/>
  <c r="G1460"/>
  <c r="G1459"/>
  <c r="G1454"/>
  <c r="G1390"/>
  <c r="G1329"/>
  <c r="G1328"/>
  <c r="G1326"/>
  <c r="G1322"/>
  <c r="G1315"/>
  <c r="G1314"/>
  <c r="G1312"/>
  <c r="G1311"/>
  <c r="G1306"/>
  <c r="G1300"/>
  <c r="G1299"/>
  <c r="G1296"/>
  <c r="G1292"/>
  <c r="G1291"/>
  <c r="G1285"/>
  <c r="G1284"/>
  <c r="G1283"/>
  <c r="G1281"/>
  <c r="G1277"/>
  <c r="G1276"/>
  <c r="G1270"/>
  <c r="G1269"/>
  <c r="G1266"/>
  <c r="G1262"/>
  <c r="G1261"/>
  <c r="G1057"/>
  <c r="G1042"/>
  <c r="G1018"/>
  <c r="G1008"/>
  <c r="G968"/>
  <c r="G967"/>
  <c r="G965"/>
  <c r="G963"/>
  <c r="G962"/>
  <c r="G949"/>
  <c r="G941"/>
  <c r="G933"/>
  <c r="G923"/>
  <c r="G881"/>
  <c r="G880"/>
  <c r="G891"/>
  <c r="G890"/>
  <c r="G871"/>
  <c r="G870"/>
  <c r="G861"/>
  <c r="G860"/>
  <c r="G852"/>
  <c r="G851"/>
  <c r="G828"/>
  <c r="G826"/>
  <c r="G806"/>
  <c r="G775"/>
  <c r="G474" i="1" l="1"/>
  <c r="G462" i="10"/>
  <c r="G733" i="7"/>
  <c r="G723"/>
  <c r="G675"/>
  <c r="G671"/>
  <c r="G667"/>
  <c r="G656"/>
  <c r="G606"/>
  <c r="G586"/>
  <c r="G566"/>
  <c r="G546"/>
  <c r="G526"/>
  <c r="G503"/>
  <c r="G484"/>
  <c r="G466"/>
  <c r="G447"/>
  <c r="G627"/>
  <c r="G619"/>
  <c r="G618"/>
  <c r="G581"/>
  <c r="G580"/>
  <c r="G561"/>
  <c r="G560"/>
  <c r="G541"/>
  <c r="G540"/>
  <c r="G519"/>
  <c r="G518"/>
  <c r="G594"/>
  <c r="G595"/>
  <c r="G596"/>
  <c r="G597"/>
  <c r="G598"/>
  <c r="G599"/>
  <c r="G600"/>
  <c r="G593"/>
  <c r="G574"/>
  <c r="G575"/>
  <c r="G576"/>
  <c r="G577"/>
  <c r="G578"/>
  <c r="G579"/>
  <c r="G573"/>
  <c r="G554"/>
  <c r="G555"/>
  <c r="G556"/>
  <c r="G557"/>
  <c r="G558"/>
  <c r="G559"/>
  <c r="G553"/>
  <c r="G534"/>
  <c r="G535"/>
  <c r="G536"/>
  <c r="G537"/>
  <c r="G538"/>
  <c r="G539"/>
  <c r="G533"/>
  <c r="G511"/>
  <c r="G512"/>
  <c r="G513"/>
  <c r="G514"/>
  <c r="G515"/>
  <c r="G516"/>
  <c r="G517"/>
  <c r="G510"/>
  <c r="G492"/>
  <c r="G493"/>
  <c r="G494"/>
  <c r="G495"/>
  <c r="G496"/>
  <c r="G497"/>
  <c r="G491"/>
  <c r="G474"/>
  <c r="G475"/>
  <c r="G476"/>
  <c r="G477"/>
  <c r="G478"/>
  <c r="G473"/>
  <c r="G455"/>
  <c r="G456"/>
  <c r="G457"/>
  <c r="G458"/>
  <c r="G459"/>
  <c r="G460"/>
  <c r="G454"/>
  <c r="G435"/>
  <c r="G436"/>
  <c r="G437"/>
  <c r="G438"/>
  <c r="G439"/>
  <c r="G440"/>
  <c r="G441"/>
  <c r="G434"/>
  <c r="G428"/>
  <c r="G424"/>
  <c r="G423"/>
  <c r="G422"/>
  <c r="G421"/>
  <c r="G420"/>
  <c r="G419"/>
  <c r="G418"/>
  <c r="G417"/>
  <c r="G416"/>
  <c r="G409"/>
  <c r="G405"/>
  <c r="G404"/>
  <c r="G403"/>
  <c r="G402"/>
  <c r="G401"/>
  <c r="G400"/>
  <c r="G399"/>
  <c r="G398"/>
  <c r="G397"/>
  <c r="G396"/>
  <c r="G390"/>
  <c r="G386"/>
  <c r="G385"/>
  <c r="G384"/>
  <c r="G383"/>
  <c r="G382"/>
  <c r="G381"/>
  <c r="G380"/>
  <c r="G379"/>
  <c r="G378"/>
  <c r="G371"/>
  <c r="G367"/>
  <c r="G366"/>
  <c r="G365"/>
  <c r="G364"/>
  <c r="G363"/>
  <c r="G362"/>
  <c r="G361"/>
  <c r="G360"/>
  <c r="G359"/>
  <c r="G358"/>
  <c r="G351"/>
  <c r="G347"/>
  <c r="G346"/>
  <c r="G345"/>
  <c r="G344"/>
  <c r="G343"/>
  <c r="G342"/>
  <c r="G341"/>
  <c r="G340"/>
  <c r="G339"/>
  <c r="G338"/>
  <c r="G330"/>
  <c r="G326"/>
  <c r="G325"/>
  <c r="G324"/>
  <c r="G323"/>
  <c r="G322"/>
  <c r="G321"/>
  <c r="G320"/>
  <c r="G319"/>
  <c r="G318"/>
  <c r="G310"/>
  <c r="G305"/>
  <c r="G304"/>
  <c r="G303"/>
  <c r="G302"/>
  <c r="G301"/>
  <c r="G300"/>
  <c r="G299"/>
  <c r="G298"/>
  <c r="G297"/>
  <c r="G290"/>
  <c r="G286"/>
  <c r="G285"/>
  <c r="G284"/>
  <c r="G283"/>
  <c r="G282"/>
  <c r="G281"/>
  <c r="G280"/>
  <c r="G279"/>
  <c r="G278"/>
  <c r="G277"/>
  <c r="G260"/>
  <c r="G257"/>
  <c r="G235"/>
  <c r="G231"/>
  <c r="G87"/>
  <c r="G73"/>
  <c r="G65"/>
  <c r="G57" l="1"/>
  <c r="G51" l="1"/>
  <c r="F38" i="11"/>
  <c r="F28"/>
  <c r="F16" l="1"/>
  <c r="F4"/>
  <c r="H665" i="10" l="1"/>
  <c r="H658"/>
  <c r="H656"/>
  <c r="H654"/>
  <c r="H653"/>
  <c r="H648"/>
  <c r="H646"/>
  <c r="H644"/>
  <c r="H641"/>
  <c r="H638"/>
  <c r="H637"/>
  <c r="H636"/>
  <c r="H635"/>
  <c r="H634"/>
  <c r="H633"/>
  <c r="H632"/>
  <c r="H631"/>
  <c r="H630"/>
  <c r="H629"/>
  <c r="H626"/>
  <c r="H611"/>
  <c r="H610"/>
  <c r="H604"/>
  <c r="H603"/>
  <c r="H602"/>
  <c r="H601"/>
  <c r="H600"/>
  <c r="H594"/>
  <c r="H593"/>
  <c r="H592"/>
  <c r="H591"/>
  <c r="H590"/>
  <c r="H589"/>
  <c r="H588"/>
  <c r="H587"/>
  <c r="H586"/>
  <c r="H585"/>
  <c r="H582"/>
  <c r="H581"/>
  <c r="H580"/>
  <c r="H579"/>
  <c r="H573"/>
  <c r="H572"/>
  <c r="H571"/>
  <c r="H568"/>
  <c r="H567"/>
  <c r="H566"/>
  <c r="H565"/>
  <c r="H564"/>
  <c r="H563"/>
  <c r="H562"/>
  <c r="H561"/>
  <c r="H560"/>
  <c r="H552"/>
  <c r="H551"/>
  <c r="H549"/>
  <c r="H548"/>
  <c r="H541"/>
  <c r="H536"/>
  <c r="H535"/>
  <c r="H534"/>
  <c r="H531"/>
  <c r="H530"/>
  <c r="H529"/>
  <c r="H528"/>
  <c r="H526"/>
  <c r="H517"/>
  <c r="H516"/>
  <c r="H515"/>
  <c r="H508"/>
  <c r="H507"/>
  <c r="H506"/>
  <c r="H505"/>
  <c r="H504"/>
  <c r="H501"/>
  <c r="H500"/>
  <c r="H499"/>
  <c r="H498"/>
  <c r="H497"/>
  <c r="H496"/>
  <c r="H494"/>
  <c r="H493"/>
  <c r="H492"/>
  <c r="H491"/>
  <c r="H490"/>
  <c r="H489"/>
  <c r="H488"/>
  <c r="H487"/>
  <c r="H486"/>
  <c r="H483"/>
  <c r="H482"/>
  <c r="H467"/>
  <c r="H466"/>
  <c r="H464"/>
  <c r="H456"/>
  <c r="H455"/>
  <c r="H453"/>
  <c r="H452"/>
  <c r="H451"/>
  <c r="H450"/>
  <c r="H448"/>
  <c r="H446"/>
  <c r="H445"/>
  <c r="H444"/>
  <c r="H443"/>
  <c r="H442"/>
  <c r="H441"/>
  <c r="H440"/>
  <c r="H439"/>
  <c r="H438"/>
  <c r="H437"/>
  <c r="H436"/>
  <c r="H435"/>
  <c r="H434"/>
  <c r="H433"/>
  <c r="H432"/>
  <c r="H431"/>
  <c r="H430"/>
  <c r="H429"/>
  <c r="H428"/>
  <c r="H427"/>
  <c r="H414"/>
  <c r="H413"/>
  <c r="H411"/>
  <c r="H410"/>
  <c r="H408"/>
  <c r="H407"/>
  <c r="H406"/>
  <c r="H405"/>
  <c r="H398"/>
  <c r="H395"/>
  <c r="H394"/>
  <c r="H393"/>
  <c r="H392"/>
  <c r="H391"/>
  <c r="H390"/>
  <c r="H389"/>
  <c r="H388"/>
  <c r="H387"/>
  <c r="H386"/>
  <c r="H383"/>
  <c r="H382"/>
  <c r="H381"/>
  <c r="H380"/>
  <c r="H379"/>
  <c r="H376"/>
  <c r="H375"/>
  <c r="H374"/>
  <c r="H373"/>
  <c r="H372"/>
  <c r="H371"/>
  <c r="H370"/>
  <c r="H369"/>
  <c r="H368"/>
  <c r="H367"/>
  <c r="H366"/>
  <c r="H365"/>
  <c r="H364"/>
  <c r="H363"/>
  <c r="H362"/>
  <c r="H361"/>
  <c r="H360"/>
  <c r="H359"/>
  <c r="H358"/>
  <c r="H352"/>
  <c r="H351"/>
  <c r="H350"/>
  <c r="H349"/>
  <c r="H348"/>
  <c r="H347"/>
  <c r="H346"/>
  <c r="H345"/>
  <c r="H344"/>
  <c r="H343"/>
  <c r="H342"/>
  <c r="H341"/>
  <c r="H340"/>
  <c r="H334"/>
  <c r="H333"/>
  <c r="H332"/>
  <c r="H328"/>
  <c r="H326"/>
  <c r="H325"/>
  <c r="H323"/>
  <c r="H321"/>
  <c r="H318"/>
  <c r="H316"/>
  <c r="H315"/>
  <c r="H311"/>
  <c r="H310"/>
  <c r="H309"/>
  <c r="H308"/>
  <c r="H305"/>
  <c r="H304"/>
  <c r="H303"/>
  <c r="H288"/>
  <c r="H282"/>
  <c r="H281"/>
  <c r="H280"/>
  <c r="H279"/>
  <c r="H278"/>
  <c r="H277"/>
  <c r="H265"/>
  <c r="H263"/>
  <c r="H262"/>
  <c r="H261"/>
  <c r="H260"/>
  <c r="H259"/>
  <c r="H254"/>
  <c r="H253"/>
  <c r="H250"/>
  <c r="H249"/>
  <c r="H248"/>
  <c r="H247"/>
  <c r="H246"/>
  <c r="H242"/>
  <c r="H241"/>
  <c r="H234"/>
  <c r="H213"/>
  <c r="H211"/>
  <c r="H188"/>
  <c r="H170"/>
  <c r="H169"/>
  <c r="H168"/>
  <c r="H167"/>
  <c r="H152"/>
  <c r="H151"/>
  <c r="H150"/>
  <c r="H149"/>
  <c r="H145"/>
  <c r="H144"/>
  <c r="H143"/>
  <c r="H141"/>
  <c r="H136"/>
  <c r="H135"/>
  <c r="H133"/>
  <c r="H132"/>
  <c r="H129"/>
  <c r="H127"/>
  <c r="H126"/>
  <c r="H125"/>
  <c r="H124"/>
  <c r="H122"/>
  <c r="H114"/>
  <c r="H113"/>
  <c r="H111"/>
  <c r="H106"/>
  <c r="H105"/>
  <c r="H104"/>
  <c r="H103"/>
  <c r="H102"/>
  <c r="H101"/>
  <c r="H100"/>
  <c r="H99"/>
  <c r="H98"/>
  <c r="H97"/>
  <c r="H94"/>
  <c r="H92"/>
  <c r="H91"/>
  <c r="H90"/>
  <c r="H89"/>
  <c r="H88"/>
  <c r="H87"/>
  <c r="H85"/>
  <c r="H79"/>
  <c r="H75"/>
  <c r="H74"/>
  <c r="H73"/>
  <c r="H72"/>
  <c r="H71"/>
  <c r="H70"/>
  <c r="H68"/>
  <c r="H67"/>
  <c r="H65"/>
  <c r="H61"/>
  <c r="H60"/>
  <c r="H59"/>
  <c r="H57"/>
  <c r="H56"/>
  <c r="H55"/>
  <c r="H54"/>
  <c r="H53"/>
  <c r="H52"/>
  <c r="H40"/>
  <c r="H38"/>
  <c r="H37"/>
  <c r="H30"/>
  <c r="H29"/>
  <c r="H28"/>
  <c r="H27"/>
  <c r="H26"/>
  <c r="H25"/>
  <c r="H24"/>
  <c r="H23"/>
  <c r="H22"/>
  <c r="H54" i="9"/>
  <c r="H53"/>
  <c r="H52"/>
  <c r="H51"/>
  <c r="H50"/>
  <c r="H49"/>
  <c r="H48"/>
  <c r="H47"/>
  <c r="H46"/>
  <c r="H45"/>
  <c r="H44"/>
  <c r="H40"/>
  <c r="H41" s="1"/>
  <c r="H29"/>
  <c r="H28"/>
  <c r="H26"/>
  <c r="H25"/>
  <c r="E24" i="4"/>
  <c r="H110" i="1"/>
  <c r="H612" i="10" l="1"/>
  <c r="H55" i="9"/>
  <c r="H312" i="10"/>
  <c r="H255"/>
  <c r="H306"/>
  <c r="H335"/>
  <c r="H42" i="7" l="1"/>
  <c r="H43"/>
  <c r="H1653" l="1"/>
  <c r="H1654" s="1"/>
  <c r="H1649"/>
  <c r="H1648"/>
  <c r="H1647"/>
  <c r="H1646"/>
  <c r="H1645"/>
  <c r="H1644"/>
  <c r="H1640"/>
  <c r="H1641" s="1"/>
  <c r="H1636"/>
  <c r="H1637" s="1"/>
  <c r="H1632"/>
  <c r="H1631"/>
  <c r="H1630"/>
  <c r="H1626"/>
  <c r="H1625"/>
  <c r="H1624"/>
  <c r="H1623"/>
  <c r="H1622"/>
  <c r="H1621"/>
  <c r="H1620"/>
  <c r="H1619"/>
  <c r="H1618"/>
  <c r="H1617"/>
  <c r="H1616"/>
  <c r="H1615"/>
  <c r="H1614"/>
  <c r="H1610"/>
  <c r="H1609"/>
  <c r="H1608"/>
  <c r="H1607"/>
  <c r="H1606"/>
  <c r="H1605"/>
  <c r="H1604"/>
  <c r="H1603"/>
  <c r="H1602"/>
  <c r="H1601"/>
  <c r="H1600"/>
  <c r="H1599"/>
  <c r="H1598"/>
  <c r="H1594"/>
  <c r="H1593"/>
  <c r="H1592"/>
  <c r="H1591"/>
  <c r="H1590"/>
  <c r="H1589"/>
  <c r="H1588"/>
  <c r="H1587"/>
  <c r="H1586"/>
  <c r="H1585"/>
  <c r="H1584"/>
  <c r="H1583"/>
  <c r="H1582"/>
  <c r="H1578"/>
  <c r="H1577"/>
  <c r="H1576"/>
  <c r="H1575"/>
  <c r="H1571"/>
  <c r="H1570"/>
  <c r="H1569"/>
  <c r="H1568"/>
  <c r="H1567"/>
  <c r="H1563"/>
  <c r="H1562"/>
  <c r="H1561"/>
  <c r="H1557"/>
  <c r="H1556"/>
  <c r="H1555"/>
  <c r="H1551"/>
  <c r="H1550"/>
  <c r="H1549"/>
  <c r="H1548"/>
  <c r="H1544"/>
  <c r="H1543"/>
  <c r="H1542"/>
  <c r="H1541"/>
  <c r="H1537"/>
  <c r="H1536"/>
  <c r="H1535"/>
  <c r="H1534"/>
  <c r="H1533"/>
  <c r="H1532"/>
  <c r="H1528"/>
  <c r="H1527"/>
  <c r="H1526"/>
  <c r="H1525"/>
  <c r="H1521"/>
  <c r="H1520"/>
  <c r="H1519"/>
  <c r="H1518"/>
  <c r="H1517"/>
  <c r="H1516"/>
  <c r="H1515"/>
  <c r="H1514"/>
  <c r="H1513"/>
  <c r="H1512"/>
  <c r="H1508"/>
  <c r="H1507"/>
  <c r="H1506"/>
  <c r="H1502"/>
  <c r="H1501"/>
  <c r="H1500"/>
  <c r="H1496"/>
  <c r="H1495"/>
  <c r="H1494"/>
  <c r="H1490"/>
  <c r="H1489"/>
  <c r="H1485"/>
  <c r="H1484"/>
  <c r="H1483"/>
  <c r="H1479"/>
  <c r="H1478"/>
  <c r="H1477"/>
  <c r="H1476"/>
  <c r="H1475"/>
  <c r="H1474"/>
  <c r="H1473"/>
  <c r="H1472"/>
  <c r="H1471"/>
  <c r="H1470"/>
  <c r="H1469"/>
  <c r="H1468"/>
  <c r="H1463"/>
  <c r="H1462"/>
  <c r="H1461"/>
  <c r="H1460"/>
  <c r="H1459"/>
  <c r="H1458"/>
  <c r="H1457"/>
  <c r="H1456"/>
  <c r="H1455"/>
  <c r="H1454"/>
  <c r="H1453"/>
  <c r="H1452"/>
  <c r="H1448"/>
  <c r="H1447"/>
  <c r="H1446"/>
  <c r="H1445"/>
  <c r="H1444"/>
  <c r="H1443"/>
  <c r="H1442"/>
  <c r="H1441"/>
  <c r="H1440"/>
  <c r="H1439"/>
  <c r="H1438"/>
  <c r="H1437"/>
  <c r="H1433"/>
  <c r="H1432"/>
  <c r="H1431"/>
  <c r="H1430"/>
  <c r="H1429"/>
  <c r="H1428"/>
  <c r="H1427"/>
  <c r="H1426"/>
  <c r="H1425"/>
  <c r="H1424"/>
  <c r="H1423"/>
  <c r="H1422"/>
  <c r="H1418"/>
  <c r="H1417"/>
  <c r="H1416"/>
  <c r="H1412"/>
  <c r="H1411"/>
  <c r="H1407"/>
  <c r="H1406"/>
  <c r="H1405"/>
  <c r="H1404"/>
  <c r="H1403"/>
  <c r="H1402"/>
  <c r="H1401"/>
  <c r="H1400"/>
  <c r="H1399"/>
  <c r="H1398"/>
  <c r="H1397"/>
  <c r="H1396"/>
  <c r="H1395"/>
  <c r="H1394"/>
  <c r="H1393"/>
  <c r="H1392"/>
  <c r="H1391"/>
  <c r="H1390"/>
  <c r="H1389"/>
  <c r="H1388"/>
  <c r="H1387"/>
  <c r="H1386"/>
  <c r="H1385"/>
  <c r="H1384"/>
  <c r="H1383"/>
  <c r="H1382"/>
  <c r="H1381"/>
  <c r="H1380"/>
  <c r="H1379"/>
  <c r="H1375"/>
  <c r="H1374"/>
  <c r="H1373"/>
  <c r="H1372"/>
  <c r="H1371"/>
  <c r="H1367"/>
  <c r="H1366"/>
  <c r="H1365"/>
  <c r="H1364"/>
  <c r="H1363"/>
  <c r="H1362"/>
  <c r="H1358"/>
  <c r="H1357"/>
  <c r="H1356"/>
  <c r="H1355"/>
  <c r="H1351"/>
  <c r="H1350"/>
  <c r="H1349"/>
  <c r="H1348"/>
  <c r="H1344"/>
  <c r="H1343"/>
  <c r="H1342"/>
  <c r="H1338"/>
  <c r="H1337"/>
  <c r="H1336"/>
  <c r="H1332"/>
  <c r="H1331"/>
  <c r="H1329"/>
  <c r="H1328"/>
  <c r="H1327"/>
  <c r="H1326"/>
  <c r="H1325"/>
  <c r="H1324"/>
  <c r="H1323"/>
  <c r="H1322"/>
  <c r="H1321"/>
  <c r="H1320"/>
  <c r="H1319"/>
  <c r="H1315"/>
  <c r="H1314"/>
  <c r="H1313"/>
  <c r="H1312"/>
  <c r="H1311"/>
  <c r="H1310"/>
  <c r="H1309"/>
  <c r="H1308"/>
  <c r="H1307"/>
  <c r="H1306"/>
  <c r="H1305"/>
  <c r="H1304"/>
  <c r="H1300"/>
  <c r="H1299"/>
  <c r="H1298"/>
  <c r="H1297"/>
  <c r="H1296"/>
  <c r="H1295"/>
  <c r="H1294"/>
  <c r="H1293"/>
  <c r="H1292"/>
  <c r="H1291"/>
  <c r="H1290"/>
  <c r="H1289"/>
  <c r="H1285"/>
  <c r="H1284"/>
  <c r="H1283"/>
  <c r="H1282"/>
  <c r="H1281"/>
  <c r="H1280"/>
  <c r="H1279"/>
  <c r="H1278"/>
  <c r="H1277"/>
  <c r="H1276"/>
  <c r="H1275"/>
  <c r="H1274"/>
  <c r="H1270"/>
  <c r="H1269"/>
  <c r="H1268"/>
  <c r="H1267"/>
  <c r="H1266"/>
  <c r="H1265"/>
  <c r="H1264"/>
  <c r="H1263"/>
  <c r="H1262"/>
  <c r="H1261"/>
  <c r="H1260"/>
  <c r="H1259"/>
  <c r="H1255"/>
  <c r="H1254"/>
  <c r="H1253"/>
  <c r="H1252"/>
  <c r="H1251"/>
  <c r="H1250"/>
  <c r="H1249"/>
  <c r="H1248"/>
  <c r="H1247"/>
  <c r="H1246"/>
  <c r="H1245"/>
  <c r="H1241"/>
  <c r="H1240"/>
  <c r="H1239"/>
  <c r="H1238"/>
  <c r="H1237"/>
  <c r="H1236"/>
  <c r="H1232"/>
  <c r="H1231"/>
  <c r="H1230"/>
  <c r="H1229"/>
  <c r="H1228"/>
  <c r="H1227"/>
  <c r="H1223"/>
  <c r="H1222"/>
  <c r="H1221"/>
  <c r="H1220"/>
  <c r="H1219"/>
  <c r="H1218"/>
  <c r="H1214"/>
  <c r="H1213"/>
  <c r="H1212"/>
  <c r="H1211"/>
  <c r="H1210"/>
  <c r="H1209"/>
  <c r="H1205"/>
  <c r="H1204"/>
  <c r="H1203"/>
  <c r="H1202"/>
  <c r="H1201"/>
  <c r="H1200"/>
  <c r="H1196"/>
  <c r="H1195"/>
  <c r="H1194"/>
  <c r="H1193"/>
  <c r="H1192"/>
  <c r="H1191"/>
  <c r="H1187"/>
  <c r="H1186"/>
  <c r="H1185"/>
  <c r="H1184"/>
  <c r="H1183"/>
  <c r="H1182"/>
  <c r="H1178"/>
  <c r="H1177"/>
  <c r="H1176"/>
  <c r="H1175"/>
  <c r="H1102"/>
  <c r="H1101"/>
  <c r="H1100"/>
  <c r="H1099"/>
  <c r="H1095"/>
  <c r="H1094"/>
  <c r="H1093"/>
  <c r="H1092"/>
  <c r="H1091"/>
  <c r="H1087"/>
  <c r="H1086"/>
  <c r="H1085"/>
  <c r="H1084"/>
  <c r="H1083"/>
  <c r="H1079"/>
  <c r="H1078"/>
  <c r="H1077"/>
  <c r="H1076"/>
  <c r="H1072"/>
  <c r="H1071"/>
  <c r="H1070"/>
  <c r="H1069"/>
  <c r="H1068"/>
  <c r="H1067"/>
  <c r="H1066"/>
  <c r="H1065"/>
  <c r="H1061"/>
  <c r="H1060"/>
  <c r="H1059"/>
  <c r="H1058"/>
  <c r="H1057"/>
  <c r="H1056"/>
  <c r="H1055"/>
  <c r="H1051"/>
  <c r="H1050"/>
  <c r="H1049"/>
  <c r="H1048"/>
  <c r="H1047"/>
  <c r="H1046"/>
  <c r="H1045"/>
  <c r="H1044"/>
  <c r="H1043"/>
  <c r="H1042"/>
  <c r="H1038"/>
  <c r="H1037"/>
  <c r="H1036"/>
  <c r="H1035"/>
  <c r="H1034"/>
  <c r="H1033"/>
  <c r="H1032"/>
  <c r="H1031"/>
  <c r="H1030"/>
  <c r="H1029"/>
  <c r="H1028"/>
  <c r="H1027"/>
  <c r="H1026"/>
  <c r="H1025"/>
  <c r="H1023"/>
  <c r="H1022"/>
  <c r="H1021"/>
  <c r="H1020"/>
  <c r="H1019"/>
  <c r="H1018"/>
  <c r="H1017"/>
  <c r="H1013"/>
  <c r="H1012"/>
  <c r="H1011"/>
  <c r="H1010"/>
  <c r="H1009"/>
  <c r="H1008"/>
  <c r="H1004"/>
  <c r="H1003"/>
  <c r="H1002"/>
  <c r="H998"/>
  <c r="H997"/>
  <c r="H996"/>
  <c r="H992"/>
  <c r="H991"/>
  <c r="H990"/>
  <c r="H989"/>
  <c r="H988"/>
  <c r="H984"/>
  <c r="H983"/>
  <c r="H982"/>
  <c r="H978"/>
  <c r="H977"/>
  <c r="H976"/>
  <c r="H975"/>
  <c r="H974"/>
  <c r="H973"/>
  <c r="H972"/>
  <c r="H968"/>
  <c r="H967"/>
  <c r="H966"/>
  <c r="H965"/>
  <c r="H964"/>
  <c r="H963"/>
  <c r="H962"/>
  <c r="H961"/>
  <c r="H960"/>
  <c r="H959"/>
  <c r="H958"/>
  <c r="H957"/>
  <c r="H956"/>
  <c r="H955"/>
  <c r="H954"/>
  <c r="H950"/>
  <c r="H949"/>
  <c r="H948"/>
  <c r="H947"/>
  <c r="H946"/>
  <c r="H942"/>
  <c r="H941"/>
  <c r="H940"/>
  <c r="H939"/>
  <c r="H938"/>
  <c r="H934"/>
  <c r="H933"/>
  <c r="H932"/>
  <c r="H931"/>
  <c r="H930"/>
  <c r="H926"/>
  <c r="H925"/>
  <c r="H924"/>
  <c r="H923"/>
  <c r="H922"/>
  <c r="H921"/>
  <c r="H917"/>
  <c r="H916"/>
  <c r="H915"/>
  <c r="H914"/>
  <c r="H913"/>
  <c r="H912"/>
  <c r="H911"/>
  <c r="H910"/>
  <c r="H909"/>
  <c r="H908"/>
  <c r="H907"/>
  <c r="H906"/>
  <c r="H905"/>
  <c r="H901"/>
  <c r="H900"/>
  <c r="H896"/>
  <c r="H895"/>
  <c r="H894"/>
  <c r="H893"/>
  <c r="H892"/>
  <c r="H891"/>
  <c r="H890"/>
  <c r="H886"/>
  <c r="H885"/>
  <c r="H884"/>
  <c r="H883"/>
  <c r="H882"/>
  <c r="H881"/>
  <c r="H880"/>
  <c r="H876"/>
  <c r="H875"/>
  <c r="H874"/>
  <c r="H873"/>
  <c r="H872"/>
  <c r="H871"/>
  <c r="H870"/>
  <c r="H866"/>
  <c r="H865"/>
  <c r="H864"/>
  <c r="H863"/>
  <c r="H862"/>
  <c r="H861"/>
  <c r="H860"/>
  <c r="H857"/>
  <c r="H856"/>
  <c r="H855"/>
  <c r="H854"/>
  <c r="H853"/>
  <c r="H852"/>
  <c r="H851"/>
  <c r="H847"/>
  <c r="H846"/>
  <c r="H845"/>
  <c r="H844"/>
  <c r="H843"/>
  <c r="H842"/>
  <c r="H838"/>
  <c r="H837"/>
  <c r="H836"/>
  <c r="H835"/>
  <c r="H834"/>
  <c r="H833"/>
  <c r="H832"/>
  <c r="H828"/>
  <c r="H827"/>
  <c r="H826"/>
  <c r="H822"/>
  <c r="H821"/>
  <c r="H820"/>
  <c r="H819"/>
  <c r="H818"/>
  <c r="H814"/>
  <c r="H813"/>
  <c r="H812"/>
  <c r="H811"/>
  <c r="H810"/>
  <c r="H806"/>
  <c r="H805"/>
  <c r="H804"/>
  <c r="H803"/>
  <c r="H802"/>
  <c r="H798"/>
  <c r="H797"/>
  <c r="H796"/>
  <c r="H795"/>
  <c r="H791"/>
  <c r="H790"/>
  <c r="H789"/>
  <c r="H788"/>
  <c r="H787"/>
  <c r="H783"/>
  <c r="H782"/>
  <c r="H781"/>
  <c r="H780"/>
  <c r="H779"/>
  <c r="H775"/>
  <c r="H774"/>
  <c r="H773"/>
  <c r="H769"/>
  <c r="H768"/>
  <c r="H764"/>
  <c r="H763"/>
  <c r="H762"/>
  <c r="H761"/>
  <c r="H760"/>
  <c r="H759"/>
  <c r="H758"/>
  <c r="H757"/>
  <c r="H756"/>
  <c r="H755"/>
  <c r="H754"/>
  <c r="H753"/>
  <c r="H749"/>
  <c r="H748"/>
  <c r="H747"/>
  <c r="H746"/>
  <c r="H745"/>
  <c r="H744"/>
  <c r="H740"/>
  <c r="H739"/>
  <c r="H738"/>
  <c r="H737"/>
  <c r="H733"/>
  <c r="H732"/>
  <c r="H731"/>
  <c r="H727"/>
  <c r="H726"/>
  <c r="H725"/>
  <c r="H724"/>
  <c r="H723"/>
  <c r="H719"/>
  <c r="H718"/>
  <c r="H717"/>
  <c r="H716"/>
  <c r="H715"/>
  <c r="H711"/>
  <c r="H710"/>
  <c r="H709"/>
  <c r="H705"/>
  <c r="H704"/>
  <c r="H703"/>
  <c r="H702"/>
  <c r="H701"/>
  <c r="H700"/>
  <c r="H696"/>
  <c r="H695"/>
  <c r="H694"/>
  <c r="H693"/>
  <c r="H689"/>
  <c r="H688"/>
  <c r="H687"/>
  <c r="H686"/>
  <c r="H682"/>
  <c r="H681"/>
  <c r="H680"/>
  <c r="H679"/>
  <c r="H675"/>
  <c r="H676" s="1"/>
  <c r="H671"/>
  <c r="H672" s="1"/>
  <c r="H667"/>
  <c r="H668" s="1"/>
  <c r="H663"/>
  <c r="H662"/>
  <c r="H661"/>
  <c r="H660"/>
  <c r="H659"/>
  <c r="H658"/>
  <c r="H657"/>
  <c r="H656"/>
  <c r="H655"/>
  <c r="H654"/>
  <c r="H653"/>
  <c r="H649"/>
  <c r="H648"/>
  <c r="H647"/>
  <c r="H646"/>
  <c r="H645"/>
  <c r="H644"/>
  <c r="H643"/>
  <c r="H642"/>
  <c r="H641"/>
  <c r="H637"/>
  <c r="H636"/>
  <c r="H635"/>
  <c r="H634"/>
  <c r="H630"/>
  <c r="H629"/>
  <c r="H628"/>
  <c r="H627"/>
  <c r="H623"/>
  <c r="H622"/>
  <c r="H621"/>
  <c r="H620"/>
  <c r="H619"/>
  <c r="H618"/>
  <c r="H614"/>
  <c r="H613"/>
  <c r="H609"/>
  <c r="H608"/>
  <c r="H607"/>
  <c r="H606"/>
  <c r="H605"/>
  <c r="H604"/>
  <c r="H603"/>
  <c r="H602"/>
  <c r="H601"/>
  <c r="H600"/>
  <c r="H599"/>
  <c r="H598"/>
  <c r="H597"/>
  <c r="H596"/>
  <c r="H595"/>
  <c r="H594"/>
  <c r="H593"/>
  <c r="H589"/>
  <c r="H588"/>
  <c r="H587"/>
  <c r="H586"/>
  <c r="H585"/>
  <c r="H584"/>
  <c r="H583"/>
  <c r="H582"/>
  <c r="H581"/>
  <c r="H580"/>
  <c r="H579"/>
  <c r="H578"/>
  <c r="H577"/>
  <c r="H576"/>
  <c r="H575"/>
  <c r="H574"/>
  <c r="H573"/>
  <c r="H569"/>
  <c r="H568"/>
  <c r="H567"/>
  <c r="H566"/>
  <c r="H565"/>
  <c r="H564"/>
  <c r="H563"/>
  <c r="H562"/>
  <c r="H561"/>
  <c r="H560"/>
  <c r="H559"/>
  <c r="H558"/>
  <c r="H557"/>
  <c r="H556"/>
  <c r="H555"/>
  <c r="H554"/>
  <c r="H553"/>
  <c r="H549"/>
  <c r="H548"/>
  <c r="H547"/>
  <c r="H546"/>
  <c r="H545"/>
  <c r="H544"/>
  <c r="H543"/>
  <c r="H542"/>
  <c r="H541"/>
  <c r="H540"/>
  <c r="H539"/>
  <c r="H538"/>
  <c r="H537"/>
  <c r="H536"/>
  <c r="H535"/>
  <c r="H534"/>
  <c r="H533"/>
  <c r="H529"/>
  <c r="H528"/>
  <c r="H527"/>
  <c r="H526"/>
  <c r="H525"/>
  <c r="H524"/>
  <c r="H523"/>
  <c r="H522"/>
  <c r="H521"/>
  <c r="H520"/>
  <c r="H519"/>
  <c r="H518"/>
  <c r="H517"/>
  <c r="H516"/>
  <c r="H515"/>
  <c r="H514"/>
  <c r="H513"/>
  <c r="H512"/>
  <c r="H511"/>
  <c r="H510"/>
  <c r="H506"/>
  <c r="H505"/>
  <c r="H504"/>
  <c r="H503"/>
  <c r="H502"/>
  <c r="H501"/>
  <c r="H500"/>
  <c r="H499"/>
  <c r="H498"/>
  <c r="H497"/>
  <c r="H496"/>
  <c r="H495"/>
  <c r="H494"/>
  <c r="H493"/>
  <c r="H492"/>
  <c r="H491"/>
  <c r="H487"/>
  <c r="H486"/>
  <c r="H485"/>
  <c r="H484"/>
  <c r="H483"/>
  <c r="H482"/>
  <c r="H481"/>
  <c r="H480"/>
  <c r="H479"/>
  <c r="H478"/>
  <c r="H477"/>
  <c r="H476"/>
  <c r="H475"/>
  <c r="H474"/>
  <c r="H473"/>
  <c r="H469"/>
  <c r="H468"/>
  <c r="H467"/>
  <c r="H466"/>
  <c r="H465"/>
  <c r="H464"/>
  <c r="H463"/>
  <c r="H462"/>
  <c r="H461"/>
  <c r="H460"/>
  <c r="H459"/>
  <c r="H458"/>
  <c r="H457"/>
  <c r="H456"/>
  <c r="H455"/>
  <c r="H454"/>
  <c r="H450"/>
  <c r="H449"/>
  <c r="H448"/>
  <c r="H447"/>
  <c r="H446"/>
  <c r="H445"/>
  <c r="H444"/>
  <c r="H443"/>
  <c r="H442"/>
  <c r="H441"/>
  <c r="H440"/>
  <c r="H439"/>
  <c r="H438"/>
  <c r="H437"/>
  <c r="H436"/>
  <c r="H435"/>
  <c r="H434"/>
  <c r="H430"/>
  <c r="H429"/>
  <c r="H428"/>
  <c r="H427"/>
  <c r="H426"/>
  <c r="H425"/>
  <c r="H424"/>
  <c r="H423"/>
  <c r="H422"/>
  <c r="H421"/>
  <c r="H420"/>
  <c r="H419"/>
  <c r="H418"/>
  <c r="H417"/>
  <c r="H416"/>
  <c r="H412"/>
  <c r="H411"/>
  <c r="H410"/>
  <c r="H409"/>
  <c r="H408"/>
  <c r="H407"/>
  <c r="H406"/>
  <c r="H405"/>
  <c r="H404"/>
  <c r="H403"/>
  <c r="H402"/>
  <c r="H401"/>
  <c r="H400"/>
  <c r="H399"/>
  <c r="H398"/>
  <c r="H397"/>
  <c r="H396"/>
  <c r="H392"/>
  <c r="H391"/>
  <c r="H390"/>
  <c r="H389"/>
  <c r="H388"/>
  <c r="H387"/>
  <c r="H386"/>
  <c r="H385"/>
  <c r="H384"/>
  <c r="H383"/>
  <c r="H382"/>
  <c r="H381"/>
  <c r="H380"/>
  <c r="H379"/>
  <c r="H378"/>
  <c r="H374"/>
  <c r="H373"/>
  <c r="H372"/>
  <c r="H371"/>
  <c r="H370"/>
  <c r="H369"/>
  <c r="H368"/>
  <c r="H367"/>
  <c r="H366"/>
  <c r="H365"/>
  <c r="H364"/>
  <c r="H363"/>
  <c r="H362"/>
  <c r="H361"/>
  <c r="H360"/>
  <c r="H359"/>
  <c r="H358"/>
  <c r="H354"/>
  <c r="H353"/>
  <c r="H352"/>
  <c r="H351"/>
  <c r="H350"/>
  <c r="H349"/>
  <c r="H348"/>
  <c r="H347"/>
  <c r="H346"/>
  <c r="H345"/>
  <c r="H344"/>
  <c r="H343"/>
  <c r="H342"/>
  <c r="H341"/>
  <c r="H340"/>
  <c r="H339"/>
  <c r="H338"/>
  <c r="H334"/>
  <c r="H333"/>
  <c r="H332"/>
  <c r="H331"/>
  <c r="H330"/>
  <c r="H329"/>
  <c r="H328"/>
  <c r="H327"/>
  <c r="H326"/>
  <c r="H325"/>
  <c r="H324"/>
  <c r="H323"/>
  <c r="H322"/>
  <c r="H321"/>
  <c r="H320"/>
  <c r="H319"/>
  <c r="H318"/>
  <c r="H314"/>
  <c r="H313"/>
  <c r="H312"/>
  <c r="H311"/>
  <c r="H310"/>
  <c r="H309"/>
  <c r="H308"/>
  <c r="H307"/>
  <c r="H306"/>
  <c r="H305"/>
  <c r="H304"/>
  <c r="H303"/>
  <c r="H302"/>
  <c r="H301"/>
  <c r="H300"/>
  <c r="H299"/>
  <c r="H298"/>
  <c r="H297"/>
  <c r="H293"/>
  <c r="H292"/>
  <c r="H291"/>
  <c r="H290"/>
  <c r="H289"/>
  <c r="H288"/>
  <c r="H287"/>
  <c r="H286"/>
  <c r="H285"/>
  <c r="H284"/>
  <c r="H283"/>
  <c r="H282"/>
  <c r="H281"/>
  <c r="H280"/>
  <c r="H279"/>
  <c r="H278"/>
  <c r="H277"/>
  <c r="H273"/>
  <c r="H272"/>
  <c r="H271"/>
  <c r="H270"/>
  <c r="H269"/>
  <c r="H268"/>
  <c r="H267"/>
  <c r="H266"/>
  <c r="H265"/>
  <c r="H264"/>
  <c r="H263"/>
  <c r="H262"/>
  <c r="H261"/>
  <c r="H260"/>
  <c r="H259"/>
  <c r="H258"/>
  <c r="H257"/>
  <c r="H253"/>
  <c r="H252"/>
  <c r="H251"/>
  <c r="H250"/>
  <c r="H249"/>
  <c r="H248"/>
  <c r="H247"/>
  <c r="H243"/>
  <c r="H242"/>
  <c r="H241"/>
  <c r="H240"/>
  <c r="H239"/>
  <c r="H235"/>
  <c r="H236" s="1"/>
  <c r="H231"/>
  <c r="H232" s="1"/>
  <c r="H227"/>
  <c r="H226"/>
  <c r="H225"/>
  <c r="H224"/>
  <c r="H223"/>
  <c r="H219"/>
  <c r="H218"/>
  <c r="H217"/>
  <c r="H216"/>
  <c r="H215"/>
  <c r="H214"/>
  <c r="H210"/>
  <c r="H209"/>
  <c r="H208"/>
  <c r="H207"/>
  <c r="H206"/>
  <c r="H205"/>
  <c r="H201"/>
  <c r="H200"/>
  <c r="H199"/>
  <c r="H198"/>
  <c r="H194"/>
  <c r="H193"/>
  <c r="H192"/>
  <c r="H191"/>
  <c r="H190"/>
  <c r="H186"/>
  <c r="H185"/>
  <c r="H184"/>
  <c r="H183"/>
  <c r="H179"/>
  <c r="H178"/>
  <c r="H177"/>
  <c r="H173"/>
  <c r="H172"/>
  <c r="H171"/>
  <c r="H170"/>
  <c r="H169"/>
  <c r="H165"/>
  <c r="H164"/>
  <c r="H163"/>
  <c r="H162"/>
  <c r="H158"/>
  <c r="H157"/>
  <c r="H156"/>
  <c r="H155"/>
  <c r="H154"/>
  <c r="H153"/>
  <c r="H149"/>
  <c r="H148"/>
  <c r="H147"/>
  <c r="H146"/>
  <c r="H145"/>
  <c r="H144"/>
  <c r="H140"/>
  <c r="H139"/>
  <c r="H138"/>
  <c r="H137"/>
  <c r="H136"/>
  <c r="H135"/>
  <c r="H131"/>
  <c r="H130"/>
  <c r="H129"/>
  <c r="H128"/>
  <c r="H127"/>
  <c r="H123"/>
  <c r="H122"/>
  <c r="H121"/>
  <c r="H120"/>
  <c r="H119"/>
  <c r="H117"/>
  <c r="H113"/>
  <c r="H112"/>
  <c r="H111"/>
  <c r="H110"/>
  <c r="H109"/>
  <c r="H107"/>
  <c r="H103"/>
  <c r="H102"/>
  <c r="H101"/>
  <c r="H100"/>
  <c r="H99"/>
  <c r="H97"/>
  <c r="H93"/>
  <c r="H92"/>
  <c r="H91"/>
  <c r="H87"/>
  <c r="H88" s="1"/>
  <c r="H83"/>
  <c r="H84" s="1"/>
  <c r="H79"/>
  <c r="H78"/>
  <c r="H74"/>
  <c r="H73"/>
  <c r="H72"/>
  <c r="H71"/>
  <c r="H70"/>
  <c r="H69"/>
  <c r="H65"/>
  <c r="H64"/>
  <c r="H63"/>
  <c r="H62"/>
  <c r="H61"/>
  <c r="H60"/>
  <c r="H59"/>
  <c r="H58"/>
  <c r="H57"/>
  <c r="H56"/>
  <c r="H55"/>
  <c r="H51"/>
  <c r="H50"/>
  <c r="H49"/>
  <c r="H48"/>
  <c r="H47"/>
  <c r="H41"/>
  <c r="H40"/>
  <c r="H39"/>
  <c r="H38"/>
  <c r="H37"/>
  <c r="H36"/>
  <c r="H35"/>
  <c r="H34"/>
  <c r="H33"/>
  <c r="H32"/>
  <c r="H31"/>
  <c r="H30"/>
  <c r="H29"/>
  <c r="H28"/>
  <c r="H27"/>
  <c r="H23"/>
  <c r="H22"/>
  <c r="H21"/>
  <c r="G234" i="1" l="1"/>
  <c r="G222" i="10"/>
  <c r="H222" s="1"/>
  <c r="G193" i="1"/>
  <c r="G181" i="10"/>
  <c r="H181" s="1"/>
  <c r="G232" i="1"/>
  <c r="G220" i="10"/>
  <c r="H220" s="1"/>
  <c r="G675" i="1"/>
  <c r="G663" i="10"/>
  <c r="H663" s="1"/>
  <c r="G194" i="1"/>
  <c r="G182" i="10"/>
  <c r="H182" s="1"/>
  <c r="G233" i="1"/>
  <c r="G221" i="10"/>
  <c r="H221" s="1"/>
  <c r="G674" i="1"/>
  <c r="G662" i="10"/>
  <c r="H662" s="1"/>
  <c r="G697" i="1"/>
  <c r="G671" i="10"/>
  <c r="H671" s="1"/>
  <c r="H672" s="1"/>
  <c r="G27" i="9"/>
  <c r="H27" s="1"/>
  <c r="H30" s="1"/>
  <c r="G49" i="1"/>
  <c r="G33" i="9"/>
  <c r="H33" s="1"/>
  <c r="G58" i="1"/>
  <c r="H24" i="7"/>
  <c r="H132"/>
  <c r="H610"/>
  <c r="H712"/>
  <c r="H741"/>
  <c r="H750"/>
  <c r="H1233"/>
  <c r="H799"/>
  <c r="H807"/>
  <c r="H1352"/>
  <c r="H1522"/>
  <c r="H44"/>
  <c r="H683"/>
  <c r="H706"/>
  <c r="H1206"/>
  <c r="H1224"/>
  <c r="H1345"/>
  <c r="H1491"/>
  <c r="H150"/>
  <c r="H166"/>
  <c r="H195"/>
  <c r="H244"/>
  <c r="H488"/>
  <c r="H615"/>
  <c r="H631"/>
  <c r="H650"/>
  <c r="H720"/>
  <c r="H993"/>
  <c r="H1005"/>
  <c r="H1339"/>
  <c r="H1376"/>
  <c r="H1538"/>
  <c r="H1627"/>
  <c r="H1611"/>
  <c r="H1595"/>
  <c r="H1579"/>
  <c r="H1486"/>
  <c r="H1419"/>
  <c r="H1359"/>
  <c r="H1271"/>
  <c r="H1242"/>
  <c r="H1215"/>
  <c r="H1197"/>
  <c r="H1188"/>
  <c r="H1096"/>
  <c r="H1073"/>
  <c r="H1014"/>
  <c r="H979"/>
  <c r="H943"/>
  <c r="H935"/>
  <c r="H897"/>
  <c r="H877"/>
  <c r="H848"/>
  <c r="H815"/>
  <c r="H792"/>
  <c r="H776"/>
  <c r="H770"/>
  <c r="H765"/>
  <c r="H697"/>
  <c r="H690"/>
  <c r="H664"/>
  <c r="H638"/>
  <c r="H624"/>
  <c r="H315"/>
  <c r="H274"/>
  <c r="H228"/>
  <c r="H220"/>
  <c r="H180"/>
  <c r="H159"/>
  <c r="H858"/>
  <c r="H887"/>
  <c r="H202"/>
  <c r="H211"/>
  <c r="H254"/>
  <c r="H355"/>
  <c r="H393"/>
  <c r="H413"/>
  <c r="H470"/>
  <c r="H507"/>
  <c r="H530"/>
  <c r="H570"/>
  <c r="H734"/>
  <c r="H784"/>
  <c r="H823"/>
  <c r="G290" i="10" s="1"/>
  <c r="H290" s="1"/>
  <c r="H839" i="7"/>
  <c r="H1080"/>
  <c r="H1088"/>
  <c r="H1103"/>
  <c r="H1179"/>
  <c r="H1256"/>
  <c r="H1316"/>
  <c r="H1434"/>
  <c r="H1464"/>
  <c r="H1480"/>
  <c r="H1503"/>
  <c r="H1552"/>
  <c r="H1558"/>
  <c r="H1564"/>
  <c r="H1572"/>
  <c r="H174"/>
  <c r="H187"/>
  <c r="H550"/>
  <c r="H590"/>
  <c r="H728"/>
  <c r="H867"/>
  <c r="H951"/>
  <c r="H969"/>
  <c r="H985"/>
  <c r="H999"/>
  <c r="H1286"/>
  <c r="H1301"/>
  <c r="H1408"/>
  <c r="H1497"/>
  <c r="H1633"/>
  <c r="H1650"/>
  <c r="H141"/>
  <c r="H94"/>
  <c r="H80"/>
  <c r="H75"/>
  <c r="H66"/>
  <c r="H52"/>
  <c r="H294"/>
  <c r="H335"/>
  <c r="H375"/>
  <c r="H431"/>
  <c r="H451"/>
  <c r="H829"/>
  <c r="H902"/>
  <c r="H918"/>
  <c r="H927"/>
  <c r="H1052"/>
  <c r="H1062"/>
  <c r="H1368"/>
  <c r="H1413"/>
  <c r="H1449"/>
  <c r="H1509"/>
  <c r="H1529"/>
  <c r="H1545"/>
  <c r="G286" i="10" l="1"/>
  <c r="H286" s="1"/>
  <c r="G298" i="1"/>
  <c r="G172"/>
  <c r="G160" i="10"/>
  <c r="H160" s="1"/>
  <c r="G559" i="1"/>
  <c r="G547" i="10"/>
  <c r="H547" s="1"/>
  <c r="G206" i="1"/>
  <c r="G194" i="10"/>
  <c r="H194" s="1"/>
  <c r="G147"/>
  <c r="H147" s="1"/>
  <c r="G108"/>
  <c r="H108" s="1"/>
  <c r="G116"/>
  <c r="H116" s="1"/>
  <c r="G257" i="1"/>
  <c r="G245" i="10"/>
  <c r="H245" s="1"/>
  <c r="H251" s="1"/>
  <c r="G558" i="1"/>
  <c r="G546" i="10"/>
  <c r="H546" s="1"/>
  <c r="G306" i="1"/>
  <c r="G294" i="10"/>
  <c r="H294" s="1"/>
  <c r="G186" i="1"/>
  <c r="G174" i="10"/>
  <c r="H174" s="1"/>
  <c r="G228" i="1"/>
  <c r="G216" i="10"/>
  <c r="H216" s="1"/>
  <c r="G307" i="1"/>
  <c r="G295" i="10"/>
  <c r="H295" s="1"/>
  <c r="G490" i="1"/>
  <c r="G478" i="10"/>
  <c r="H478" s="1"/>
  <c r="G533" i="1"/>
  <c r="G521" i="10"/>
  <c r="H521" s="1"/>
  <c r="G589" i="1"/>
  <c r="G577" i="10"/>
  <c r="H577" s="1"/>
  <c r="G276" i="1"/>
  <c r="G264" i="10"/>
  <c r="H264" s="1"/>
  <c r="H223"/>
  <c r="G430" i="1"/>
  <c r="G418" i="10"/>
  <c r="H418" s="1"/>
  <c r="G204" i="1"/>
  <c r="G192" i="10"/>
  <c r="H192" s="1"/>
  <c r="G524" i="1"/>
  <c r="G512" i="10"/>
  <c r="H512" s="1"/>
  <c r="G217" i="1"/>
  <c r="G205" i="10"/>
  <c r="H205" s="1"/>
  <c r="G609" i="1"/>
  <c r="G597" i="10"/>
  <c r="H597" s="1"/>
  <c r="G461" i="1"/>
  <c r="G449" i="10"/>
  <c r="H449" s="1"/>
  <c r="G207" i="1"/>
  <c r="G195" i="10"/>
  <c r="H195" s="1"/>
  <c r="G203" i="1"/>
  <c r="G191" i="10"/>
  <c r="H191" s="1"/>
  <c r="G284" i="1"/>
  <c r="G272" i="10"/>
  <c r="H272" s="1"/>
  <c r="G484" i="1"/>
  <c r="G472" i="10"/>
  <c r="H472" s="1"/>
  <c r="G222" i="1"/>
  <c r="G210" i="10"/>
  <c r="H210" s="1"/>
  <c r="G627" i="1"/>
  <c r="G615" i="10"/>
  <c r="H615" s="1"/>
  <c r="G537" i="1"/>
  <c r="G525" i="10"/>
  <c r="H525" s="1"/>
  <c r="G366" i="1"/>
  <c r="G354" i="10"/>
  <c r="H354" s="1"/>
  <c r="G210" i="1"/>
  <c r="G198" i="10"/>
  <c r="H198" s="1"/>
  <c r="G202" i="1"/>
  <c r="G190" i="10"/>
  <c r="H190" s="1"/>
  <c r="G667" i="1"/>
  <c r="G655" i="10"/>
  <c r="H655" s="1"/>
  <c r="G555"/>
  <c r="H555" s="1"/>
  <c r="G511"/>
  <c r="H511" s="1"/>
  <c r="G369" i="1"/>
  <c r="G357" i="10"/>
  <c r="H357" s="1"/>
  <c r="G215" i="1"/>
  <c r="G203" i="10"/>
  <c r="H203" s="1"/>
  <c r="G637" i="1"/>
  <c r="G625" i="10"/>
  <c r="H625" s="1"/>
  <c r="G570" i="1"/>
  <c r="G558" i="10"/>
  <c r="H558" s="1"/>
  <c r="G515" i="1"/>
  <c r="G503" i="10"/>
  <c r="H503" s="1"/>
  <c r="G437" i="1"/>
  <c r="G425" i="10"/>
  <c r="H425" s="1"/>
  <c r="G285" i="1"/>
  <c r="G273" i="10"/>
  <c r="H273" s="1"/>
  <c r="G213" i="1"/>
  <c r="G201" i="10"/>
  <c r="H201" s="1"/>
  <c r="G205" i="1"/>
  <c r="G193" i="10"/>
  <c r="H193" s="1"/>
  <c r="G311" i="1"/>
  <c r="G299" i="10"/>
  <c r="H299" s="1"/>
  <c r="G187" i="1"/>
  <c r="G175" i="10"/>
  <c r="H175" s="1"/>
  <c r="G221" i="1"/>
  <c r="G209" i="10"/>
  <c r="H209" s="1"/>
  <c r="G240" i="1"/>
  <c r="G228" i="10"/>
  <c r="H228" s="1"/>
  <c r="G286" i="1"/>
  <c r="G274" i="10"/>
  <c r="H274" s="1"/>
  <c r="G312" i="1"/>
  <c r="G300" i="10"/>
  <c r="H300" s="1"/>
  <c r="G428" i="1"/>
  <c r="G416" i="10"/>
  <c r="H416" s="1"/>
  <c r="G487" i="1"/>
  <c r="G475" i="10"/>
  <c r="H475" s="1"/>
  <c r="G554"/>
  <c r="H554" s="1"/>
  <c r="G510"/>
  <c r="H510" s="1"/>
  <c r="G654" i="1"/>
  <c r="G642" i="10"/>
  <c r="H642" s="1"/>
  <c r="G628" i="1"/>
  <c r="G616" i="10"/>
  <c r="H616" s="1"/>
  <c r="G402"/>
  <c r="H402" s="1"/>
  <c r="G485"/>
  <c r="H485" s="1"/>
  <c r="G559"/>
  <c r="H559" s="1"/>
  <c r="G628"/>
  <c r="H628" s="1"/>
  <c r="H584"/>
  <c r="G220" i="1"/>
  <c r="G208" i="10"/>
  <c r="H208" s="1"/>
  <c r="G150" i="1"/>
  <c r="G138" i="10"/>
  <c r="H138" s="1"/>
  <c r="G491" i="1"/>
  <c r="G479" i="10"/>
  <c r="H479" s="1"/>
  <c r="G287" i="1"/>
  <c r="G275" i="10"/>
  <c r="H275" s="1"/>
  <c r="G248" i="1"/>
  <c r="G236" i="10"/>
  <c r="H236" s="1"/>
  <c r="H237" s="1"/>
  <c r="G331" i="1"/>
  <c r="G319" i="10"/>
  <c r="H319" s="1"/>
  <c r="G551" i="1"/>
  <c r="G539" i="10"/>
  <c r="H539" s="1"/>
  <c r="G166" i="1"/>
  <c r="G154" i="10"/>
  <c r="H154" s="1"/>
  <c r="G481" i="1"/>
  <c r="G469" i="10"/>
  <c r="H469" s="1"/>
  <c r="G208" i="1"/>
  <c r="G196" i="10"/>
  <c r="H196" s="1"/>
  <c r="G131" i="1"/>
  <c r="G119" i="10"/>
  <c r="H119" s="1"/>
  <c r="G283" i="1"/>
  <c r="G271" i="10"/>
  <c r="H271" s="1"/>
  <c r="G368" i="1"/>
  <c r="G356" i="10"/>
  <c r="H356" s="1"/>
  <c r="G557" i="1"/>
  <c r="G545" i="10"/>
  <c r="H545" s="1"/>
  <c r="G227" i="1"/>
  <c r="G215" i="10"/>
  <c r="H215" s="1"/>
  <c r="G242" i="1"/>
  <c r="G230" i="10"/>
  <c r="H230" s="1"/>
  <c r="G89" i="1"/>
  <c r="G77" i="10"/>
  <c r="H77" s="1"/>
  <c r="H80" s="1"/>
  <c r="G634" i="1"/>
  <c r="G622" i="10"/>
  <c r="H622" s="1"/>
  <c r="G552" i="1"/>
  <c r="G540" i="10"/>
  <c r="H540" s="1"/>
  <c r="G303" i="1"/>
  <c r="G291" i="10"/>
  <c r="H291" s="1"/>
  <c r="G396" i="1"/>
  <c r="G384" i="10"/>
  <c r="H384" s="1"/>
  <c r="G639" i="1"/>
  <c r="G627" i="10"/>
  <c r="H627" s="1"/>
  <c r="G557"/>
  <c r="H557" s="1"/>
  <c r="G513"/>
  <c r="H513" s="1"/>
  <c r="G214" i="1"/>
  <c r="G202" i="10"/>
  <c r="H202" s="1"/>
  <c r="G184" i="1"/>
  <c r="G172" i="10"/>
  <c r="H172" s="1"/>
  <c r="G239" i="1"/>
  <c r="G227" i="10"/>
  <c r="H227" s="1"/>
  <c r="G310" i="1"/>
  <c r="G298" i="10"/>
  <c r="H298" s="1"/>
  <c r="G582" i="1"/>
  <c r="G570" i="10"/>
  <c r="H570" s="1"/>
  <c r="G611" i="1"/>
  <c r="G599" i="10"/>
  <c r="H599" s="1"/>
  <c r="H462"/>
  <c r="G341" i="1"/>
  <c r="G329" i="10"/>
  <c r="H329" s="1"/>
  <c r="G209" i="1"/>
  <c r="G197" i="10"/>
  <c r="H197" s="1"/>
  <c r="G608" i="1"/>
  <c r="G596" i="10"/>
  <c r="H596" s="1"/>
  <c r="G415" i="1"/>
  <c r="G403" i="10"/>
  <c r="H403" s="1"/>
  <c r="G309" i="1"/>
  <c r="G297" i="10"/>
  <c r="H297" s="1"/>
  <c r="G171" i="1"/>
  <c r="G159" i="10"/>
  <c r="H159" s="1"/>
  <c r="G636" i="1"/>
  <c r="G624" i="10"/>
  <c r="H624" s="1"/>
  <c r="G568" i="1"/>
  <c r="G556" i="10"/>
  <c r="H556" s="1"/>
  <c r="G486" i="1"/>
  <c r="G474" i="10"/>
  <c r="H474" s="1"/>
  <c r="G433" i="1"/>
  <c r="G421" i="10"/>
  <c r="H421" s="1"/>
  <c r="G269" i="1"/>
  <c r="G257" i="10"/>
  <c r="H257" s="1"/>
  <c r="G211" i="1"/>
  <c r="G199" i="10"/>
  <c r="H199" s="1"/>
  <c r="G196" i="1"/>
  <c r="G184" i="10"/>
  <c r="H184" s="1"/>
  <c r="G308" i="1"/>
  <c r="G296" i="10"/>
  <c r="H296" s="1"/>
  <c r="G189" i="1"/>
  <c r="G177" i="10"/>
  <c r="H177" s="1"/>
  <c r="G224" i="1"/>
  <c r="G212" i="10"/>
  <c r="H212" s="1"/>
  <c r="G280" i="1"/>
  <c r="G268" i="10"/>
  <c r="H268" s="1"/>
  <c r="H269" s="1"/>
  <c r="G367" i="1"/>
  <c r="G355" i="10"/>
  <c r="H355" s="1"/>
  <c r="G432" i="1"/>
  <c r="G420" i="10"/>
  <c r="H420" s="1"/>
  <c r="G488" i="1"/>
  <c r="G476" i="10"/>
  <c r="H476" s="1"/>
  <c r="G536" i="1"/>
  <c r="G524" i="10"/>
  <c r="H524" s="1"/>
  <c r="G662" i="1"/>
  <c r="G650" i="10"/>
  <c r="H650" s="1"/>
  <c r="G545" i="1"/>
  <c r="G533" i="10"/>
  <c r="H533" s="1"/>
  <c r="G252" i="1"/>
  <c r="G240" i="10"/>
  <c r="H240" s="1"/>
  <c r="H243" s="1"/>
  <c r="G212" i="1"/>
  <c r="G200" i="10"/>
  <c r="H200" s="1"/>
  <c r="G130" i="1"/>
  <c r="G118" i="10"/>
  <c r="H118" s="1"/>
  <c r="G489" i="1"/>
  <c r="G477" i="10"/>
  <c r="H477" s="1"/>
  <c r="G626" i="1"/>
  <c r="G614" i="10"/>
  <c r="H614" s="1"/>
  <c r="G492" i="1"/>
  <c r="G480" i="10"/>
  <c r="H480" s="1"/>
  <c r="G218" i="1"/>
  <c r="G206" i="10"/>
  <c r="H206" s="1"/>
  <c r="G431" i="1"/>
  <c r="G419" i="10"/>
  <c r="H419" s="1"/>
  <c r="G409" i="1"/>
  <c r="G397" i="10"/>
  <c r="H397" s="1"/>
  <c r="G635" i="1"/>
  <c r="G623" i="10"/>
  <c r="H623" s="1"/>
  <c r="G216" i="1"/>
  <c r="G204" i="10"/>
  <c r="H204" s="1"/>
  <c r="G198" i="1"/>
  <c r="G186" i="10"/>
  <c r="H186" s="1"/>
  <c r="G438" i="1"/>
  <c r="G426" i="10"/>
  <c r="H426" s="1"/>
  <c r="G663" i="1"/>
  <c r="G651" i="10"/>
  <c r="H651" s="1"/>
  <c r="G195" i="1"/>
  <c r="G183" i="10"/>
  <c r="H183" s="1"/>
  <c r="G535" i="1"/>
  <c r="G523" i="10"/>
  <c r="H523" s="1"/>
  <c r="G679" i="1"/>
  <c r="G667" i="10"/>
  <c r="H667" s="1"/>
  <c r="H668" s="1"/>
  <c r="G167" i="1"/>
  <c r="G155" i="10"/>
  <c r="H155" s="1"/>
  <c r="G397" i="1"/>
  <c r="G385" i="10"/>
  <c r="H385" s="1"/>
  <c r="G493" i="1"/>
  <c r="G481" i="10"/>
  <c r="H481" s="1"/>
  <c r="G664" i="1"/>
  <c r="G652" i="10"/>
  <c r="H652" s="1"/>
  <c r="G416" i="1"/>
  <c r="G404" i="10"/>
  <c r="H404" s="1"/>
  <c r="G534" i="1"/>
  <c r="G522" i="10"/>
  <c r="H522" s="1"/>
  <c r="G238" i="1"/>
  <c r="G226" i="10"/>
  <c r="H226" s="1"/>
  <c r="G288" i="1"/>
  <c r="G276" i="10"/>
  <c r="H276" s="1"/>
  <c r="G270" i="1"/>
  <c r="G258" i="10"/>
  <c r="H258" s="1"/>
  <c r="G159" i="1"/>
  <c r="G120"/>
  <c r="G128"/>
  <c r="G32" i="10"/>
  <c r="H32" s="1"/>
  <c r="G36" i="1"/>
  <c r="G42" i="10"/>
  <c r="H42" s="1"/>
  <c r="G48" i="1"/>
  <c r="G37"/>
  <c r="G33" i="10"/>
  <c r="H33" s="1"/>
  <c r="G1024" i="7"/>
  <c r="H1024" s="1"/>
  <c r="H1039" s="1"/>
  <c r="G108"/>
  <c r="H108" s="1"/>
  <c r="H114" s="1"/>
  <c r="G70" i="1"/>
  <c r="G34" i="9"/>
  <c r="H34" s="1"/>
  <c r="G59" i="1"/>
  <c r="G36" i="9"/>
  <c r="H36" s="1"/>
  <c r="G118" i="7"/>
  <c r="H118" s="1"/>
  <c r="H124" s="1"/>
  <c r="G98"/>
  <c r="H98" s="1"/>
  <c r="H104" s="1"/>
  <c r="G34" i="10"/>
  <c r="H34" s="1"/>
  <c r="G38" i="1"/>
  <c r="G567"/>
  <c r="G523"/>
  <c r="G569"/>
  <c r="G525"/>
  <c r="G302"/>
  <c r="G39"/>
  <c r="G35" i="10"/>
  <c r="H35" s="1"/>
  <c r="G566" i="1"/>
  <c r="G522"/>
  <c r="G1330" i="7"/>
  <c r="H1330" s="1"/>
  <c r="H1333" s="1"/>
  <c r="G497" i="1"/>
  <c r="G414"/>
  <c r="G640"/>
  <c r="G596"/>
  <c r="G571"/>
  <c r="G21" i="9"/>
  <c r="H21" s="1"/>
  <c r="H22" s="1"/>
  <c r="G21" i="1"/>
  <c r="C94" i="3"/>
  <c r="B94"/>
  <c r="C92"/>
  <c r="B92"/>
  <c r="H292" i="10" l="1"/>
  <c r="H231"/>
  <c r="H161"/>
  <c r="H37" i="9"/>
  <c r="H457" i="10"/>
  <c r="H266"/>
  <c r="H217"/>
  <c r="G526" i="1"/>
  <c r="G514" i="10"/>
  <c r="H514" s="1"/>
  <c r="H518" s="1"/>
  <c r="G429" i="1"/>
  <c r="G417" i="10"/>
  <c r="H417" s="1"/>
  <c r="H422" s="1"/>
  <c r="H542"/>
  <c r="H377"/>
  <c r="H178"/>
  <c r="G60" i="1"/>
  <c r="G49" i="10"/>
  <c r="H49" s="1"/>
  <c r="H617"/>
  <c r="H618" s="1"/>
  <c r="H537"/>
  <c r="H399"/>
  <c r="G62" i="1"/>
  <c r="G51" i="10"/>
  <c r="H51" s="1"/>
  <c r="H659"/>
  <c r="H574"/>
  <c r="H283"/>
  <c r="H330"/>
  <c r="H156"/>
  <c r="H605"/>
  <c r="H301"/>
  <c r="G61" i="1"/>
  <c r="G50" i="10"/>
  <c r="H50" s="1"/>
  <c r="H43"/>
  <c r="H56" i="9"/>
  <c r="H57" s="1"/>
  <c r="H58" s="1"/>
  <c r="C85" i="3"/>
  <c r="B85"/>
  <c r="C79"/>
  <c r="B79"/>
  <c r="C77"/>
  <c r="C68"/>
  <c r="C63"/>
  <c r="B63"/>
  <c r="C61"/>
  <c r="B61"/>
  <c r="C59"/>
  <c r="B59"/>
  <c r="C57"/>
  <c r="B57"/>
  <c r="C55"/>
  <c r="B55"/>
  <c r="C53"/>
  <c r="B53"/>
  <c r="C51"/>
  <c r="B51"/>
  <c r="C49"/>
  <c r="B49"/>
  <c r="C47"/>
  <c r="B47"/>
  <c r="C45"/>
  <c r="B45"/>
  <c r="C43"/>
  <c r="B43"/>
  <c r="C41"/>
  <c r="C39"/>
  <c r="B39"/>
  <c r="C37"/>
  <c r="H606" i="10" l="1"/>
  <c r="H62"/>
  <c r="H162" s="1"/>
  <c r="H336"/>
  <c r="H458"/>
  <c r="C26" i="3"/>
  <c r="B26"/>
  <c r="C24"/>
  <c r="B24"/>
  <c r="C22"/>
  <c r="B22"/>
  <c r="C17"/>
  <c r="B17"/>
  <c r="H673" i="10" l="1"/>
  <c r="H674" s="1"/>
  <c r="H675" s="1"/>
  <c r="C30" i="3" l="1"/>
  <c r="B30"/>
  <c r="C21"/>
  <c r="B21"/>
  <c r="C55" i="2"/>
  <c r="C86" i="3" s="1"/>
  <c r="B55" i="2"/>
  <c r="B86" i="3" s="1"/>
  <c r="H624" i="1" l="1"/>
  <c r="D55" i="2" s="1"/>
  <c r="E46" i="13" s="1"/>
  <c r="E86" i="3" l="1"/>
  <c r="R86" s="1"/>
  <c r="S86" l="1"/>
  <c r="C59" i="2" l="1"/>
  <c r="B59"/>
  <c r="C58"/>
  <c r="B58"/>
  <c r="C57"/>
  <c r="B57"/>
  <c r="C56"/>
  <c r="C88" i="3" s="1"/>
  <c r="B56" i="2"/>
  <c r="B88" i="3" s="1"/>
  <c r="C53" i="2"/>
  <c r="C83" i="3" s="1"/>
  <c r="B53" i="2"/>
  <c r="C52"/>
  <c r="B52"/>
  <c r="B50"/>
  <c r="B77" i="3" s="1"/>
  <c r="C49" i="2"/>
  <c r="C75" i="3" s="1"/>
  <c r="B49" i="2"/>
  <c r="B75" i="3" s="1"/>
  <c r="C48" i="2"/>
  <c r="C74" i="3" s="1"/>
  <c r="B48" i="2"/>
  <c r="B74" i="3" s="1"/>
  <c r="C47" i="2"/>
  <c r="C72" i="3" s="1"/>
  <c r="B47" i="2"/>
  <c r="B72" i="3" s="1"/>
  <c r="C46" i="2"/>
  <c r="C70" i="3" s="1"/>
  <c r="B46" i="2"/>
  <c r="B70" i="3" s="1"/>
  <c r="B45" i="2"/>
  <c r="B68" i="3" s="1"/>
  <c r="C44" i="2"/>
  <c r="C66" i="3" s="1"/>
  <c r="B44" i="2"/>
  <c r="B66" i="3" s="1"/>
  <c r="C43" i="2"/>
  <c r="C65" i="3" s="1"/>
  <c r="B43" i="2"/>
  <c r="B65" i="3" s="1"/>
  <c r="B31" i="2"/>
  <c r="B41" i="3" s="1"/>
  <c r="B29" i="2"/>
  <c r="B37" i="3" s="1"/>
  <c r="C28" i="2"/>
  <c r="C35" i="3" s="1"/>
  <c r="B28" i="2"/>
  <c r="B35" i="3" s="1"/>
  <c r="C27" i="2"/>
  <c r="C33" i="3" s="1"/>
  <c r="B27" i="2"/>
  <c r="B33" i="3" s="1"/>
  <c r="C26" i="2"/>
  <c r="C31" i="3" s="1"/>
  <c r="B26" i="2"/>
  <c r="B31" i="3" s="1"/>
  <c r="C25" i="2"/>
  <c r="B25"/>
  <c r="C24"/>
  <c r="C28" i="3" s="1"/>
  <c r="B24" i="2"/>
  <c r="B28" i="3" s="1"/>
  <c r="C20" i="2"/>
  <c r="B20"/>
  <c r="C19"/>
  <c r="C19" i="3" s="1"/>
  <c r="B19" i="2"/>
  <c r="B19" i="3" s="1"/>
  <c r="B83" l="1"/>
  <c r="B81"/>
  <c r="C81"/>
  <c r="H281" i="1"/>
  <c r="D35" i="2" s="1"/>
  <c r="E48" i="13" s="1"/>
  <c r="H249" i="1"/>
  <c r="H74"/>
  <c r="H50"/>
  <c r="H22"/>
  <c r="E49" i="3" l="1"/>
  <c r="P49" s="1"/>
  <c r="S49" s="1"/>
  <c r="H255" i="1"/>
  <c r="H629"/>
  <c r="H630" s="1"/>
  <c r="H318"/>
  <c r="D39" i="2" s="1"/>
  <c r="E50" i="13" s="1"/>
  <c r="H682" i="1"/>
  <c r="D58" i="2" s="1"/>
  <c r="E42" i="13" s="1"/>
  <c r="H617" i="1"/>
  <c r="D53" i="2" s="1"/>
  <c r="E38" i="13" s="1"/>
  <c r="H434" i="1"/>
  <c r="D46" i="2" s="1"/>
  <c r="E27" i="13" s="1"/>
  <c r="H52" i="1"/>
  <c r="D19" i="2" s="1"/>
  <c r="E26" i="13" s="1"/>
  <c r="H263" i="1"/>
  <c r="D32" i="2" s="1"/>
  <c r="E28" i="13" s="1"/>
  <c r="H313" i="1"/>
  <c r="D38" i="2" s="1"/>
  <c r="E43" i="13" s="1"/>
  <c r="H324" i="1"/>
  <c r="D40" i="2" s="1"/>
  <c r="E37" i="13" s="1"/>
  <c r="H342" i="1"/>
  <c r="D41" i="2" s="1"/>
  <c r="E31" i="13" s="1"/>
  <c r="H530" i="1"/>
  <c r="H698"/>
  <c r="H243"/>
  <c r="D29" i="2" s="1"/>
  <c r="E32" i="13" s="1"/>
  <c r="H173" i="1"/>
  <c r="D24" i="2" s="1"/>
  <c r="E16" i="13" s="1"/>
  <c r="F16" s="1"/>
  <c r="H235" i="1"/>
  <c r="D28" i="2" s="1"/>
  <c r="E34" i="13" s="1"/>
  <c r="H295" i="1"/>
  <c r="D36" i="2" s="1"/>
  <c r="E18" i="13" s="1"/>
  <c r="H304" i="1"/>
  <c r="D37" i="2" s="1"/>
  <c r="E39" i="13" s="1"/>
  <c r="H549" i="1"/>
  <c r="H586"/>
  <c r="D52" i="2" s="1"/>
  <c r="E44" i="13" s="1"/>
  <c r="H671" i="1"/>
  <c r="D57" i="2" s="1"/>
  <c r="H92" i="1"/>
  <c r="D22" i="2" s="1"/>
  <c r="E22" i="13" s="1"/>
  <c r="H554" i="1"/>
  <c r="D51" i="2" s="1"/>
  <c r="E45" i="13" s="1"/>
  <c r="H168" i="1"/>
  <c r="D23" i="2" s="1"/>
  <c r="E17" i="13" s="1"/>
  <c r="D30" i="2"/>
  <c r="E36" i="13" s="1"/>
  <c r="D18" i="2"/>
  <c r="E52" i="13" s="1"/>
  <c r="H229" i="1"/>
  <c r="D27" i="2" s="1"/>
  <c r="E19" i="13" s="1"/>
  <c r="D31" i="2"/>
  <c r="E20" i="13" s="1"/>
  <c r="H411" i="1"/>
  <c r="D45" i="2" s="1"/>
  <c r="E41" i="13" s="1"/>
  <c r="H267" i="1"/>
  <c r="D33" i="2" s="1"/>
  <c r="E35" i="13" s="1"/>
  <c r="H278" i="1"/>
  <c r="D34" i="2" s="1"/>
  <c r="E30" i="13" s="1"/>
  <c r="H469" i="1"/>
  <c r="D47" i="2" s="1"/>
  <c r="E40" i="13" s="1"/>
  <c r="H347" i="1"/>
  <c r="D42" i="2" s="1"/>
  <c r="E51" i="13" s="1"/>
  <c r="H389" i="1"/>
  <c r="H190"/>
  <c r="E90" i="3" l="1"/>
  <c r="P90" s="1"/>
  <c r="E29" i="13"/>
  <c r="F17"/>
  <c r="F18" s="1"/>
  <c r="F19" s="1"/>
  <c r="F20" s="1"/>
  <c r="F22" s="1"/>
  <c r="E68" i="3"/>
  <c r="E83"/>
  <c r="R83" s="1"/>
  <c r="E33"/>
  <c r="M33" s="1"/>
  <c r="E81"/>
  <c r="R81" s="1"/>
  <c r="E92"/>
  <c r="E24"/>
  <c r="I24" s="1"/>
  <c r="E70"/>
  <c r="N70" s="1"/>
  <c r="E61"/>
  <c r="R61" s="1"/>
  <c r="E57"/>
  <c r="E63"/>
  <c r="R63" s="1"/>
  <c r="S63" s="1"/>
  <c r="E53"/>
  <c r="M53" s="1"/>
  <c r="E59"/>
  <c r="R59" s="1"/>
  <c r="S59" s="1"/>
  <c r="E41"/>
  <c r="E51"/>
  <c r="N51" s="1"/>
  <c r="E55"/>
  <c r="O55" s="1"/>
  <c r="E39"/>
  <c r="N39" s="1"/>
  <c r="E72"/>
  <c r="E47"/>
  <c r="R47" s="1"/>
  <c r="E26"/>
  <c r="I26" s="1"/>
  <c r="E35"/>
  <c r="R35" s="1"/>
  <c r="E43"/>
  <c r="E37"/>
  <c r="Q37" s="1"/>
  <c r="E17"/>
  <c r="E45"/>
  <c r="P45" s="1"/>
  <c r="E79"/>
  <c r="E19"/>
  <c r="G19" s="1"/>
  <c r="E28"/>
  <c r="L28" s="1"/>
  <c r="D56" i="2"/>
  <c r="E49" i="13" s="1"/>
  <c r="H470" i="1"/>
  <c r="N28" i="3"/>
  <c r="D26" i="2"/>
  <c r="E24" i="13" s="1"/>
  <c r="H348" i="1"/>
  <c r="D49" i="2"/>
  <c r="E25" i="13" s="1"/>
  <c r="H618" i="1"/>
  <c r="D44" i="2"/>
  <c r="E47" i="13" s="1"/>
  <c r="D21" i="2"/>
  <c r="E21" i="13" s="1"/>
  <c r="H174" i="1"/>
  <c r="Q92" i="3"/>
  <c r="L92"/>
  <c r="J92"/>
  <c r="G92"/>
  <c r="P92"/>
  <c r="K92"/>
  <c r="I92"/>
  <c r="R92"/>
  <c r="N92"/>
  <c r="M92"/>
  <c r="O92"/>
  <c r="H92"/>
  <c r="R90"/>
  <c r="H699" i="1"/>
  <c r="R57" i="3"/>
  <c r="S57" s="1"/>
  <c r="N55"/>
  <c r="Q43"/>
  <c r="M43"/>
  <c r="N43"/>
  <c r="O43"/>
  <c r="P43"/>
  <c r="R43"/>
  <c r="P33"/>
  <c r="O33"/>
  <c r="O47"/>
  <c r="J26"/>
  <c r="P68"/>
  <c r="R68"/>
  <c r="Q68"/>
  <c r="Q41"/>
  <c r="O41"/>
  <c r="P41"/>
  <c r="M41"/>
  <c r="N41"/>
  <c r="L41"/>
  <c r="L53"/>
  <c r="N53"/>
  <c r="L72"/>
  <c r="Q72"/>
  <c r="P72"/>
  <c r="N72"/>
  <c r="M72"/>
  <c r="K72"/>
  <c r="R72"/>
  <c r="O72"/>
  <c r="O79"/>
  <c r="L79"/>
  <c r="N79"/>
  <c r="M79"/>
  <c r="J79"/>
  <c r="I79"/>
  <c r="K79"/>
  <c r="H79"/>
  <c r="O45"/>
  <c r="D59" i="2"/>
  <c r="E23" i="13" s="1"/>
  <c r="D50" i="2"/>
  <c r="E33" i="13" s="1"/>
  <c r="R53" i="3" l="1"/>
  <c r="H26"/>
  <c r="P70"/>
  <c r="Q53"/>
  <c r="M81"/>
  <c r="K26"/>
  <c r="Q70"/>
  <c r="N33"/>
  <c r="P55"/>
  <c r="P53"/>
  <c r="O53"/>
  <c r="L26"/>
  <c r="O70"/>
  <c r="S70" s="1"/>
  <c r="L33"/>
  <c r="Q33"/>
  <c r="M55"/>
  <c r="R37"/>
  <c r="R70"/>
  <c r="Q47"/>
  <c r="H19"/>
  <c r="S19" s="1"/>
  <c r="O81"/>
  <c r="M51"/>
  <c r="R45"/>
  <c r="J24"/>
  <c r="Q61"/>
  <c r="S61" s="1"/>
  <c r="O51"/>
  <c r="O90"/>
  <c r="O37"/>
  <c r="N81"/>
  <c r="N47"/>
  <c r="L51"/>
  <c r="Q83"/>
  <c r="S83" s="1"/>
  <c r="Q45"/>
  <c r="P37"/>
  <c r="Q81"/>
  <c r="P81"/>
  <c r="H24"/>
  <c r="P47"/>
  <c r="P51"/>
  <c r="Q90"/>
  <c r="F23" i="13"/>
  <c r="F21" s="1"/>
  <c r="F24" s="1"/>
  <c r="F26" s="1"/>
  <c r="F25" s="1"/>
  <c r="F29" s="1"/>
  <c r="F28" s="1"/>
  <c r="F27" s="1"/>
  <c r="F30" s="1"/>
  <c r="F31" s="1"/>
  <c r="F32" s="1"/>
  <c r="F33" s="1"/>
  <c r="F34" s="1"/>
  <c r="F35" s="1"/>
  <c r="F36" s="1"/>
  <c r="F37" s="1"/>
  <c r="F39" s="1"/>
  <c r="F38" s="1"/>
  <c r="F40" s="1"/>
  <c r="F41" s="1"/>
  <c r="F42" s="1"/>
  <c r="F43" s="1"/>
  <c r="F46" s="1"/>
  <c r="F44" s="1"/>
  <c r="F45" s="1"/>
  <c r="F48" s="1"/>
  <c r="F49" s="1"/>
  <c r="F47" s="1"/>
  <c r="F50" s="1"/>
  <c r="F51" s="1"/>
  <c r="F52" s="1"/>
  <c r="G52" s="1"/>
  <c r="O39" i="3"/>
  <c r="S39" s="1"/>
  <c r="E75"/>
  <c r="R75" s="1"/>
  <c r="E88"/>
  <c r="Q88" s="1"/>
  <c r="S88" s="1"/>
  <c r="E77"/>
  <c r="E31"/>
  <c r="P31" s="1"/>
  <c r="E94"/>
  <c r="R94" s="1"/>
  <c r="Q35"/>
  <c r="S35" s="1"/>
  <c r="K28"/>
  <c r="J28"/>
  <c r="E22"/>
  <c r="H22" s="1"/>
  <c r="M28"/>
  <c r="E66"/>
  <c r="P66" s="1"/>
  <c r="H700" i="1"/>
  <c r="M42" i="8" s="1"/>
  <c r="M43"/>
  <c r="S92" i="3"/>
  <c r="G17"/>
  <c r="S17" s="1"/>
  <c r="N94"/>
  <c r="S41"/>
  <c r="S33"/>
  <c r="S90"/>
  <c r="D60" i="2"/>
  <c r="D61" s="1"/>
  <c r="S68" i="3"/>
  <c r="S79"/>
  <c r="S72"/>
  <c r="S43"/>
  <c r="S53" l="1"/>
  <c r="H94"/>
  <c r="P75"/>
  <c r="S37"/>
  <c r="S55"/>
  <c r="S26"/>
  <c r="S51"/>
  <c r="S81"/>
  <c r="M94"/>
  <c r="J94"/>
  <c r="M75"/>
  <c r="S24"/>
  <c r="S45"/>
  <c r="Q94"/>
  <c r="Q75"/>
  <c r="I94"/>
  <c r="I96" s="1"/>
  <c r="K94"/>
  <c r="N75"/>
  <c r="L94"/>
  <c r="O94"/>
  <c r="K66"/>
  <c r="S47"/>
  <c r="G16" i="13"/>
  <c r="H16" s="1"/>
  <c r="G18"/>
  <c r="G41"/>
  <c r="G29"/>
  <c r="G46"/>
  <c r="G27"/>
  <c r="G40"/>
  <c r="G51"/>
  <c r="G36"/>
  <c r="O66" i="3"/>
  <c r="G34" i="13"/>
  <c r="G33"/>
  <c r="G21"/>
  <c r="G44"/>
  <c r="G22"/>
  <c r="G28"/>
  <c r="G43"/>
  <c r="G19"/>
  <c r="G39"/>
  <c r="J96" i="3"/>
  <c r="L66"/>
  <c r="M66"/>
  <c r="E97"/>
  <c r="G50" i="13"/>
  <c r="G49"/>
  <c r="G45"/>
  <c r="G38"/>
  <c r="G25"/>
  <c r="G42"/>
  <c r="G30"/>
  <c r="G37"/>
  <c r="G31"/>
  <c r="P94" i="3"/>
  <c r="P96" s="1"/>
  <c r="G94"/>
  <c r="O75"/>
  <c r="O96" s="1"/>
  <c r="Q66"/>
  <c r="N66"/>
  <c r="G22"/>
  <c r="S22" s="1"/>
  <c r="S28"/>
  <c r="G24" i="13"/>
  <c r="G35"/>
  <c r="G32"/>
  <c r="G48"/>
  <c r="G23"/>
  <c r="G26"/>
  <c r="G47"/>
  <c r="G20"/>
  <c r="G17"/>
  <c r="O31" i="3"/>
  <c r="M31"/>
  <c r="L31"/>
  <c r="L96" s="1"/>
  <c r="N31"/>
  <c r="K31"/>
  <c r="H701" i="1"/>
  <c r="M45" i="8"/>
  <c r="H96" i="3"/>
  <c r="G96"/>
  <c r="G97" s="1"/>
  <c r="E18" i="2"/>
  <c r="D62"/>
  <c r="E49"/>
  <c r="E21"/>
  <c r="E26"/>
  <c r="E42"/>
  <c r="E37"/>
  <c r="E52"/>
  <c r="E19"/>
  <c r="E39"/>
  <c r="E51"/>
  <c r="E33"/>
  <c r="E41"/>
  <c r="E59"/>
  <c r="E50"/>
  <c r="E58"/>
  <c r="E35"/>
  <c r="E34"/>
  <c r="E57"/>
  <c r="E23"/>
  <c r="E29"/>
  <c r="E40"/>
  <c r="E27"/>
  <c r="E24"/>
  <c r="E53"/>
  <c r="E55"/>
  <c r="Q77" i="3"/>
  <c r="R77"/>
  <c r="R96" s="1"/>
  <c r="E36" i="2"/>
  <c r="E47"/>
  <c r="E32"/>
  <c r="E56"/>
  <c r="E38"/>
  <c r="E31"/>
  <c r="E44"/>
  <c r="E45"/>
  <c r="E46"/>
  <c r="E28"/>
  <c r="E30"/>
  <c r="E22"/>
  <c r="S75" i="3" l="1"/>
  <c r="O98"/>
  <c r="K96"/>
  <c r="N96"/>
  <c r="S66"/>
  <c r="Q96"/>
  <c r="Q98" s="1"/>
  <c r="S94"/>
  <c r="M96"/>
  <c r="H17" i="13"/>
  <c r="H18" s="1"/>
  <c r="H19" s="1"/>
  <c r="H20" s="1"/>
  <c r="H22" s="1"/>
  <c r="H23" s="1"/>
  <c r="H21" s="1"/>
  <c r="H24" s="1"/>
  <c r="H26" s="1"/>
  <c r="H25" s="1"/>
  <c r="H29" s="1"/>
  <c r="H28" s="1"/>
  <c r="H27" s="1"/>
  <c r="H30" s="1"/>
  <c r="H31" s="1"/>
  <c r="H32" s="1"/>
  <c r="H33" s="1"/>
  <c r="H34" s="1"/>
  <c r="H35" s="1"/>
  <c r="H36" s="1"/>
  <c r="H37" s="1"/>
  <c r="H39" s="1"/>
  <c r="H38" s="1"/>
  <c r="H40" s="1"/>
  <c r="H41" s="1"/>
  <c r="H42" s="1"/>
  <c r="H43" s="1"/>
  <c r="H46" s="1"/>
  <c r="H44" s="1"/>
  <c r="H45" s="1"/>
  <c r="H48" s="1"/>
  <c r="H49" s="1"/>
  <c r="H47" s="1"/>
  <c r="H50" s="1"/>
  <c r="H51" s="1"/>
  <c r="H52" s="1"/>
  <c r="S31" i="3"/>
  <c r="H97"/>
  <c r="I97" s="1"/>
  <c r="J97" s="1"/>
  <c r="K97" s="1"/>
  <c r="L97" s="1"/>
  <c r="M97" s="1"/>
  <c r="N97" s="1"/>
  <c r="O97" s="1"/>
  <c r="P97" s="1"/>
  <c r="R98"/>
  <c r="K98"/>
  <c r="N98"/>
  <c r="J98"/>
  <c r="I98"/>
  <c r="L98"/>
  <c r="P98"/>
  <c r="M98"/>
  <c r="G98"/>
  <c r="G99" s="1"/>
  <c r="H98"/>
  <c r="F94"/>
  <c r="F92"/>
  <c r="F90"/>
  <c r="E60" i="2"/>
  <c r="F53" i="3"/>
  <c r="F17"/>
  <c r="F86"/>
  <c r="F49"/>
  <c r="F28"/>
  <c r="F39"/>
  <c r="F33"/>
  <c r="F70"/>
  <c r="F63"/>
  <c r="F66"/>
  <c r="F41"/>
  <c r="F37"/>
  <c r="F22"/>
  <c r="F47"/>
  <c r="F79"/>
  <c r="F57"/>
  <c r="F26"/>
  <c r="F88"/>
  <c r="F31"/>
  <c r="F75"/>
  <c r="F72"/>
  <c r="F45"/>
  <c r="F43"/>
  <c r="F81"/>
  <c r="F83"/>
  <c r="F59"/>
  <c r="F55"/>
  <c r="F51"/>
  <c r="F35"/>
  <c r="F61"/>
  <c r="F68"/>
  <c r="F24"/>
  <c r="F19"/>
  <c r="F77"/>
  <c r="S77"/>
  <c r="Q97" l="1"/>
  <c r="R97" s="1"/>
  <c r="S97"/>
  <c r="H99"/>
  <c r="I99" s="1"/>
  <c r="J99" s="1"/>
  <c r="K99" s="1"/>
  <c r="L99" s="1"/>
  <c r="M99" s="1"/>
  <c r="N99" s="1"/>
  <c r="O99" s="1"/>
  <c r="P99" s="1"/>
  <c r="Q99" s="1"/>
  <c r="R99" s="1"/>
  <c r="F99"/>
  <c r="C90" l="1"/>
  <c r="B90"/>
</calcChain>
</file>

<file path=xl/sharedStrings.xml><?xml version="1.0" encoding="utf-8"?>
<sst xmlns="http://schemas.openxmlformats.org/spreadsheetml/2006/main" count="11244" uniqueCount="2907">
  <si>
    <t>CENTRO EDUCACIONAL CRIXÁ</t>
  </si>
  <si>
    <t>CÓDIGO</t>
  </si>
  <si>
    <t>DESCRIÇÃO</t>
  </si>
  <si>
    <t>CLASS</t>
  </si>
  <si>
    <t>UNIDADE</t>
  </si>
  <si>
    <t>QUANT.</t>
  </si>
  <si>
    <t>PREÇO TOTAL (R$)</t>
  </si>
  <si>
    <t>01.00.000</t>
  </si>
  <si>
    <t>SERVIÇOS TÉCNICO-PROFISSIONAIS</t>
  </si>
  <si>
    <t>01.01.000</t>
  </si>
  <si>
    <t>Topografia</t>
  </si>
  <si>
    <t>Equipe de topografia para serviços de locação e medição em obras</t>
  </si>
  <si>
    <t>SER.CG</t>
  </si>
  <si>
    <t>DIA</t>
  </si>
  <si>
    <t>10,00</t>
  </si>
  <si>
    <t>M</t>
  </si>
  <si>
    <t>02.00.000</t>
  </si>
  <si>
    <t>SERVIÇOS PRELIMINARES</t>
  </si>
  <si>
    <t>02.01.000</t>
  </si>
  <si>
    <t>Canteiro de Obras</t>
  </si>
  <si>
    <t>02.01.100</t>
  </si>
  <si>
    <t>Construções Provisórias</t>
  </si>
  <si>
    <t>93207U</t>
  </si>
  <si>
    <t>EXECUÇÃO DE ESCRITÓRIO EM CANTEIRO DE OBRA EM CHAPA DE MADEIRA COMPENSADA, NÃO INCLUSO MOBILIÁRIO E EQUIPAMENTOS. AF_02/2016</t>
  </si>
  <si>
    <t>M2</t>
  </si>
  <si>
    <t>27,00</t>
  </si>
  <si>
    <t>93208U</t>
  </si>
  <si>
    <t>EXECUÇÃO DE ALMOXARIFADO EM CANTEIRO DE OBRA EM CHAPA DE MADEIRA COMPENSADA, INCLUSO PRATELEIRAS. AF_02/2016</t>
  </si>
  <si>
    <t>44,00</t>
  </si>
  <si>
    <t>93210U</t>
  </si>
  <si>
    <t>EXECUÇÃO DE REFEITÓRIO EM CANTEIRO DE OBRA EM CHAPA DE MADEIRA COMPENSADA, NÃO INCLUSO MOBILIÁRIO E EQUIPAMENTOS. AF_02/2016</t>
  </si>
  <si>
    <t>28,00</t>
  </si>
  <si>
    <t>93212U</t>
  </si>
  <si>
    <t>EXECUÇÃO DE SANITÁRIO E VESTIÁRIO EM CANTEIRO DE OBRA EM CHAPA DE MADEIRA COMPENSADA, NÃO INCLUSO MOBILIÁRIO. AF_02/2016</t>
  </si>
  <si>
    <t>18,00</t>
  </si>
  <si>
    <t>93214U</t>
  </si>
  <si>
    <t>EXECUÇÃO DE RESERVATÓRIO ELEVADO DE ÁGUA (1000 LITROS) EM CANTEIRO DE OBRA, APOIADO EM ESTRUTURA DE MADEIRA. AF_02/2016</t>
  </si>
  <si>
    <t>UN</t>
  </si>
  <si>
    <t>1,00</t>
  </si>
  <si>
    <t>93243U</t>
  </si>
  <si>
    <t>EXECUÇÃO DE RESERVATÓRIO ELEVADO DE ÁGUA (2000 LITROS) EM CANTEIRO DE OBRA, APOIADO EM ESTRUTURA DE MADEIRA. AF_02/2016</t>
  </si>
  <si>
    <t>93583U</t>
  </si>
  <si>
    <t>EXECUÇÃO DE CENTRAL DE FÔRMAS, PRODUÇÃO DE ARGAMASSA OU CONCRETO EM CANTEIRO DE OBRA, NÃO INCLUSO MOBILIÁRIO E EQUIPAMENTOS. AF_04/2016</t>
  </si>
  <si>
    <t>32,00</t>
  </si>
  <si>
    <t>93584U</t>
  </si>
  <si>
    <t>EXECUÇÃO DE DEPÓSITO EM CANTEIRO DE OBRA EM CHAPA DE MADEIRA COMPENSADA, NÃO INCLUSO MOBILIÁRIO. AF_04/2016</t>
  </si>
  <si>
    <t>16,00</t>
  </si>
  <si>
    <t>93585U</t>
  </si>
  <si>
    <t>EXECUÇÃO DE GUARITA EM CANTEIRO DE OBRA EM CHAPA DE MADEIRA COMPENSADA, NÃO INCLUSO MOBILIÁRIO. AF_04/2016</t>
  </si>
  <si>
    <t>4,00</t>
  </si>
  <si>
    <t>02.01.200</t>
  </si>
  <si>
    <t>Ligações Provisórias</t>
  </si>
  <si>
    <t>Ligação provisória de água para obra e instalação sanitária provisória, pequenas obras - instalação mínima</t>
  </si>
  <si>
    <t>Ligação provisória de luz e força para obra - instalação mínima</t>
  </si>
  <si>
    <t>Ligação de esgoto completa com tubo PVC Ø 150 mm no terço oposto</t>
  </si>
  <si>
    <t>Ligação de água a rede pública, cavalete de entrada</t>
  </si>
  <si>
    <t>02.01.400</t>
  </si>
  <si>
    <t>Proteção e Sinalização</t>
  </si>
  <si>
    <t>PLACA DE OBRA EM CHAPA DE ACO GALVANIZADO</t>
  </si>
  <si>
    <t>14,08</t>
  </si>
  <si>
    <t>98459U</t>
  </si>
  <si>
    <t>TAPUME COM TELHA METÁLICA. AF_05/2018</t>
  </si>
  <si>
    <t>866,00</t>
  </si>
  <si>
    <t>02.03.000</t>
  </si>
  <si>
    <t>Locação de Obras</t>
  </si>
  <si>
    <t>99059U</t>
  </si>
  <si>
    <t>LOCACAO CONVENCIONAL DE OBRA, UTILIZANDO GABARITO DE TÁBUAS CORRIDAS PONTALETADAS A CADA 2,00M - 2 UTILIZAÇÕES. AF_10/2018</t>
  </si>
  <si>
    <t>338,00</t>
  </si>
  <si>
    <t>02.04.000</t>
  </si>
  <si>
    <t>Terraplenagem</t>
  </si>
  <si>
    <t>Transporte de material de 1a. categoria, distância além de 3km</t>
  </si>
  <si>
    <t>M³*KM</t>
  </si>
  <si>
    <t>109.812,00</t>
  </si>
  <si>
    <t>2,28</t>
  </si>
  <si>
    <t>Escavação, carga e transporte de material de 1ª categoria - DMT de 2.500 a 3.000 m - caminho de serviço pavimentado - com escavadeira e caminhão basculante de 14 m³</t>
  </si>
  <si>
    <t>M3</t>
  </si>
  <si>
    <t>9.151,00</t>
  </si>
  <si>
    <t>LIMPEZA MECANIZADA DE TERRENO COM REMOCAO DE CAMADA VEGETAL, UTILIZANDO MOTONIVELADORA</t>
  </si>
  <si>
    <t>9.501,00</t>
  </si>
  <si>
    <t>CORTE E ATERRO COMPENSADO</t>
  </si>
  <si>
    <t>2.070,00</t>
  </si>
  <si>
    <t>93377U</t>
  </si>
  <si>
    <t>REATERRO MECANIZADO DE VALA COM RETROESCAVADEIRA (CAPACIDADE DA CAÇAMBA DA RETRO: 0,26 M³ / POTÊNCIA: 88 HP), LARGURA DE 0,8 A 1,5 M, PROFUNDIDADE DE 1,5 A 3,0 M, COM SOLO (SEM SUBSTITUIÇÃO) DE 1ª CATEGORIA EM LOCAIS COM ALTO NÍVEL DE INTERFERÊNCIA. AF_04/2016</t>
  </si>
  <si>
    <t>905,00</t>
  </si>
  <si>
    <t>93382U</t>
  </si>
  <si>
    <t>REATERRO MANUAL DE VALAS COM COMPACTAÇÃO MECANIZADA. AF_04/2016</t>
  </si>
  <si>
    <t>103,00</t>
  </si>
  <si>
    <t>03.00.000</t>
  </si>
  <si>
    <t>FUNDAÇÕES E ESTRUTURAS</t>
  </si>
  <si>
    <t>03.01.000</t>
  </si>
  <si>
    <t>Fundações</t>
  </si>
  <si>
    <t>03.01.400</t>
  </si>
  <si>
    <t>Fundações Profundas</t>
  </si>
  <si>
    <t>03.01.420</t>
  </si>
  <si>
    <t>Estacas Moldadas no local</t>
  </si>
  <si>
    <t>03.01.427</t>
  </si>
  <si>
    <t>Tipo Hélice Contínua</t>
  </si>
  <si>
    <t>Custo de mobilização ou desmobilização, equipamento estaca hélice contínua, movimentação da equipe e dos equipamentos dentro das regiões metropolitanas (serviço terceirizado)</t>
  </si>
  <si>
    <t>CARGA E DESCARGA MECANICA DE SOLO UTILIZANDO CAMINHAO BASCULANTE 6,0M3/16T E PA CARREGADEIRA SOBRE PNEUS 128 HP, CAPACIDADE DA CAÇAMBA 1,7 A 2,8 M3, PESO OPERACIONAL 11632 KG</t>
  </si>
  <si>
    <t>949,00</t>
  </si>
  <si>
    <t>ESTACA HÉLICE CONTÍNUA, DIÂMETRO DE 30 CM, COMPRIMENTO TOTAL ACIMA DE 15 M ATÉ 20 M, PERFURATRIZ COM TORQUE DE 170 KN.M (EXCLUSIVE MOBILIZAÇÃO E DESMOBILIZAÇÃO). AF_02/2015</t>
  </si>
  <si>
    <t>2.479,00</t>
  </si>
  <si>
    <t>ESTACA HÉLICE CONTÍNUA, DIÂMETRO DE 40 CM, COMPRIMENTO TOTAL ACIMA DE 15 M ATÉ 30 M, PERFURATRIZ COM TORQUE DE 170 KN.M (EXCLUSIVE MOBILIZAÇÃO E DESMOBILIZAÇÃO). AF_02/2015</t>
  </si>
  <si>
    <t>2.336,00</t>
  </si>
  <si>
    <t>ESTACA HÉLICE CONTÍNUA, DIÂMETRO DE 50 CM, COMPRIMENTO TOTAL ACIMA DE 15 M ATÉ 30 M, PERFURATRIZ COM TORQUE DE 170 KN.M (EXCLUSIVE MOBILIZAÇÃO E DESMOBILIZAÇÃO). AF_02/2015</t>
  </si>
  <si>
    <t>1.056,00</t>
  </si>
  <si>
    <t>93590U</t>
  </si>
  <si>
    <t>TRANSPORTE COM CAMINHÃO BASCULANTE DE 10 M3, EM VIA URBANA PAVIMENTADA, DMT ACIMA DE 30KM (UNIDADE: M3XKM). AF_04/2016</t>
  </si>
  <si>
    <t>M3XKM</t>
  </si>
  <si>
    <t>33.222,00</t>
  </si>
  <si>
    <t>95577U</t>
  </si>
  <si>
    <t>MONTAGEM DE ARMADURA LONGITUDINAL DE ESTACAS DE SEÇÃO CIRCULAR, DIÂMETRO = 10,0 MM. AF_11/2016</t>
  </si>
  <si>
    <t>KG</t>
  </si>
  <si>
    <t>678,00</t>
  </si>
  <si>
    <t>95579U</t>
  </si>
  <si>
    <t>MONTAGEM DE ARMADURA LONGITUDINAL DE ESTACAS DE SEÇÃO CIRCULAR, DIÂMETRO = 16,0 MM. AF_11/2016</t>
  </si>
  <si>
    <t>13.796,00</t>
  </si>
  <si>
    <t>95584U</t>
  </si>
  <si>
    <t>MONTAGEM DE ARMADURA TRANSVERSAL DE ESTACAS DE SEÇÃO CIRCULAR, DIÂMETRO = 6,3 MM. AF_11/2016</t>
  </si>
  <si>
    <t>3.600,00</t>
  </si>
  <si>
    <t>95602U</t>
  </si>
  <si>
    <t>ARRASAMENTO MECANICO DE ESTACA DE CONCRETO ARMADO, DIAMETROS DE 41 CM A 60 CM. AF_11/2016</t>
  </si>
  <si>
    <t>423,00</t>
  </si>
  <si>
    <t>97046U</t>
  </si>
  <si>
    <t>PONTEIRAS DE PROTEÇÃO DE VERGALHÕES EXPOSTOS EM FUNDAÇÕES. AF_11/2017</t>
  </si>
  <si>
    <t>1.692,00</t>
  </si>
  <si>
    <t>03.01.480</t>
  </si>
  <si>
    <t>Movimento de terra</t>
  </si>
  <si>
    <t>309,00</t>
  </si>
  <si>
    <t>10.829,00</t>
  </si>
  <si>
    <t>96523U</t>
  </si>
  <si>
    <t>ESCAVAÇÃO MANUAL PARA BLOCO DE COROAMENTO OU SAPATA, COM PREVISÃO DE FÔRMA. AF_06/2017</t>
  </si>
  <si>
    <t>661,00</t>
  </si>
  <si>
    <t>96995U</t>
  </si>
  <si>
    <t>REATERRO MANUAL APILOADO COM SOQUETE. AF_10/2017</t>
  </si>
  <si>
    <t>440,00</t>
  </si>
  <si>
    <t>03.01.500</t>
  </si>
  <si>
    <t>Blocos de Fundações</t>
  </si>
  <si>
    <t>03.01.501</t>
  </si>
  <si>
    <t>Lastro</t>
  </si>
  <si>
    <t>100322U</t>
  </si>
  <si>
    <t>LASTRO COM MATERIAL GRANULAR (PEDRA BRITADA N.3), APLICADO EM PISOS OU RADIERS, ESPESSURA DE *10 CM*. AF_07/2019</t>
  </si>
  <si>
    <t>53,00</t>
  </si>
  <si>
    <t>03.01.502</t>
  </si>
  <si>
    <t>Forma</t>
  </si>
  <si>
    <t>96540U</t>
  </si>
  <si>
    <t>FABRICAÇÃO, MONTAGEM E DESMONTAGEM DE FÔRMA PARA BLOCO DE COROAMENTO, EM CHAPA DE MADEIRA COMPENSADA RESINADA, E=17 MM, 4 UTILIZAÇÕES. AF_06/2017</t>
  </si>
  <si>
    <t>752,20</t>
  </si>
  <si>
    <t>96542U</t>
  </si>
  <si>
    <t>FABRICAÇÃO, MONTAGEM E DESMONTAGEM DE FÔRMA PARA VIGA BALDRAME, EM CHAPA DE MADEIRA COMPENSADA RESINADA, E=17 MM, 4 UTILIZAÇÕES. AF_06/2017</t>
  </si>
  <si>
    <t>1.877,00</t>
  </si>
  <si>
    <t>03.01.503</t>
  </si>
  <si>
    <t>Armadura</t>
  </si>
  <si>
    <t>96544U</t>
  </si>
  <si>
    <t>ARMAÇÃO DE BLOCO, VIGA BALDRAME OU SAPATA UTILIZANDO AÇO CA-50 DE 6,3 MM - MONTAGEM. AF_06/2017</t>
  </si>
  <si>
    <t>4.824,00</t>
  </si>
  <si>
    <t>96545U</t>
  </si>
  <si>
    <t>ARMAÇÃO DE BLOCO, VIGA BALDRAME OU SAPATA UTILIZANDO AÇO CA-50 DE 8 MM - MONTAGEM. AF_06/2017</t>
  </si>
  <si>
    <t>6.209,00</t>
  </si>
  <si>
    <t>96546U</t>
  </si>
  <si>
    <t>ARMAÇÃO DE BLOCO, VIGA BALDRAME OU SAPATA UTILIZANDO AÇO CA-50 DE 10 MM - MONTAGEM. AF_06/2017</t>
  </si>
  <si>
    <t>7.550,00</t>
  </si>
  <si>
    <t>96547U</t>
  </si>
  <si>
    <t>ARMAÇÃO DE BLOCO, VIGA BALDRAME OU SAPATA UTILIZANDO AÇO CA-50 DE 12,5 MM - MONTAGEM. AF_06/2017</t>
  </si>
  <si>
    <t>1.684,00</t>
  </si>
  <si>
    <t>96548U</t>
  </si>
  <si>
    <t>ARMAÇÃO DE BLOCO, VIGA BALDRAME OU SAPATA UTILIZANDO AÇO CA-50 DE 16 MM - MONTAGEM. AF_06/2017</t>
  </si>
  <si>
    <t>2.458,00</t>
  </si>
  <si>
    <t>96549U</t>
  </si>
  <si>
    <t>ARMAÇÃO DE BLOCO, VIGA BALDRAME OU SAPATA UTILIZANDO AÇO CA-50 DE 20 MM - MONTAGEM. AF_06/2017</t>
  </si>
  <si>
    <t>1.510,00</t>
  </si>
  <si>
    <t>03.01.504</t>
  </si>
  <si>
    <t>Concreto</t>
  </si>
  <si>
    <t>CONCRETAGEM DE BLOCOS DE COROAMENTO E VIGAS BALDRAMES, FCK 25 MPA, COM USO DE BOMBA ? LANÇAMENTO, ADENSAMENTO E ACABAMENTO. AF_06/2017</t>
  </si>
  <si>
    <t>400,50</t>
  </si>
  <si>
    <t>03.01.600</t>
  </si>
  <si>
    <t>Impermeabilização</t>
  </si>
  <si>
    <t>98557U</t>
  </si>
  <si>
    <t>IMPERMEABILIZAÇÃO DE SUPERFÍCIE COM EMULSÃO ASFÁLTICA, 2 DEMÃOS AF_06/2018</t>
  </si>
  <si>
    <t>2.754,20</t>
  </si>
  <si>
    <t>03.02.000</t>
  </si>
  <si>
    <t>Estruturas de Concreto</t>
  </si>
  <si>
    <t>03.02.100</t>
  </si>
  <si>
    <t>Concreto Armado</t>
  </si>
  <si>
    <t>03.02.110</t>
  </si>
  <si>
    <t>Pilares</t>
  </si>
  <si>
    <t>03.02.111</t>
  </si>
  <si>
    <t>Formas</t>
  </si>
  <si>
    <t>MONTAGEM E DESMONTAGEM DE FÔRMA DE PILARES RETANGULARES E ESTRUTURAS SIMILARES COM ÁREA MÉDIA DAS SEÇÕES MENOR OU IGUAL A 0,25 M², PÉ-DIREITO SIMPLES, EM CHAPA DE MADEIRA COMPENSADA RESINADA, 6 UTILIZAÇÕES. AF_12/2015</t>
  </si>
  <si>
    <t>565,00</t>
  </si>
  <si>
    <t>03.02.112</t>
  </si>
  <si>
    <t>92775U</t>
  </si>
  <si>
    <t>ARMAÇÃO DE PILAR OU VIGA DE UMA ESTRUTURA CONVENCIONAL DE CONCRETO ARMADO EM UMA EDIFICAÇÃO TÉRREA OU SOBRADO UTILIZANDO AÇO CA-60 DE 5,0 MM - MONTAGEM. AF_12/2015</t>
  </si>
  <si>
    <t>269,50</t>
  </si>
  <si>
    <t>92776U</t>
  </si>
  <si>
    <t>ARMAÇÃO DE PILAR OU VIGA DE UMA ESTRUTURA CONVENCIONAL DE CONCRETO ARMADO EM UMA EDIFICAÇÃO TÉRREA OU SOBRADO UTILIZANDO AÇO CA-50 DE 6,3 MM - MONTAGEM. AF_12/2015</t>
  </si>
  <si>
    <t>2.040,50</t>
  </si>
  <si>
    <t>92778U</t>
  </si>
  <si>
    <t>ARMAÇÃO DE PILAR OU VIGA DE UMA ESTRUTURA CONVENCIONAL DE CONCRETO ARMADO EM UMA EDIFICAÇÃO TÉRREA OU SOBRADO UTILIZANDO AÇO CA-50 DE 10,0 MM - MONTAGEM. AF_12/2015</t>
  </si>
  <si>
    <t>872,30</t>
  </si>
  <si>
    <t>92779U</t>
  </si>
  <si>
    <t>ARMAÇÃO DE PILAR OU VIGA DE UMA ESTRUTURA CONVENCIONAL DE CONCRETO ARMADO EM UMA EDIFICAÇÃO TÉRREA OU SOBRADO UTILIZANDO AÇO CA-50 DE 12,5 MM - MONTAGEM. AF_12/2015</t>
  </si>
  <si>
    <t>2.321,00</t>
  </si>
  <si>
    <t>92780U</t>
  </si>
  <si>
    <t>ARMAÇÃO DE PILAR OU VIGA DE UMA ESTRUTURA CONVENCIONAL DE CONCRETO ARMADO EM UMA EDIFICAÇÃO TÉRREA OU SOBRADO UTILIZANDO AÇO CA-50 DE 16,0 MM - MONTAGEM. AF_12/2015</t>
  </si>
  <si>
    <t>2.819,30</t>
  </si>
  <si>
    <t>92781U</t>
  </si>
  <si>
    <t>ARMAÇÃO DE PILAR OU VIGA DE UMA ESTRUTURA CONVENCIONAL DE CONCRETO ARMADO EM UMA EDIFICAÇÃO TÉRREA OU SOBRADO UTILIZANDO AÇO CA-50 DE 20,0 MM - MONTAGEM. AF_12/2015</t>
  </si>
  <si>
    <t>410,30</t>
  </si>
  <si>
    <t>03.02.113</t>
  </si>
  <si>
    <t>92720U</t>
  </si>
  <si>
    <t>CONCRETAGEM DE PILARES, FCK = 25 MPA, COM USO DE BOMBA EM EDIFICAÇÃO COM SEÇÃO MÉDIA DE PILARES MENOR OU IGUAL A 0,25 M² - LANÇAMENTO, ADENSAMENTO E ACABAMENTO. AF_12/2015</t>
  </si>
  <si>
    <t>55,56</t>
  </si>
  <si>
    <t>03.02.120</t>
  </si>
  <si>
    <t>Vigas</t>
  </si>
  <si>
    <t>03.02.121</t>
  </si>
  <si>
    <t>92451U</t>
  </si>
  <si>
    <t>MONTAGEM E DESMONTAGEM DE FÔRMA DE VIGA, ESCORAMENTO COM GARFO DE MADEIRA, PÉ-DIREITO SIMPLES, EM CHAPA DE MADEIRA RESINADA, 2 UTILIZAÇÕES. AF_12/2015</t>
  </si>
  <si>
    <t>722,35</t>
  </si>
  <si>
    <t>03.02.122</t>
  </si>
  <si>
    <t>91600U</t>
  </si>
  <si>
    <t>ARMAÇÃO DO SISTEMA DE PAREDES DE CONCRETO, EXECUTADA EM PLATIBANDAS, TELA Q-92. AF_06/2019</t>
  </si>
  <si>
    <t>215,60</t>
  </si>
  <si>
    <t>1.372,80</t>
  </si>
  <si>
    <t>92777U</t>
  </si>
  <si>
    <t>ARMAÇÃO DE PILAR OU VIGA DE UMA ESTRUTURA CONVENCIONAL DE CONCRETO ARMADO EM UMA EDIFICAÇÃO TÉRREA OU SOBRADO UTILIZANDO AÇO CA-50 DE 8,0 MM - MONTAGEM. AF_12/2015</t>
  </si>
  <si>
    <t>1.336,50</t>
  </si>
  <si>
    <t>1.398,10</t>
  </si>
  <si>
    <t>852,50</t>
  </si>
  <si>
    <t>632,50</t>
  </si>
  <si>
    <t>335,50</t>
  </si>
  <si>
    <t>92782U</t>
  </si>
  <si>
    <t>ARMAÇÃO DE PILAR OU VIGA DE UMA ESTRUTURA CONVENCIONAL DE CONCRETO ARMADO EM UMA EDIFICAÇÃO TÉRREA OU SOBRADO UTILIZANDO AÇO CA-50 DE 25,0 MM - MONTAGEM. AF_12/2015</t>
  </si>
  <si>
    <t>674,30</t>
  </si>
  <si>
    <t>03.02.123</t>
  </si>
  <si>
    <t>CONCRETAGEM DE VIGAS E LAJES, FCK=25 MPA, PARA LAJES MACIÇAS OU NERVURADAS COM USO DE BOMBA EM EDIFICAÇÃO COM ÁREA MÉDIA DE LAJES MAIOR QUE 20 M² - LANÇAMENTO, ADENSAMENTO E ACABAMENTO. AF_12/2015</t>
  </si>
  <si>
    <t>75,05</t>
  </si>
  <si>
    <t>03.02.130</t>
  </si>
  <si>
    <t>Lajes</t>
  </si>
  <si>
    <t>03.02.131</t>
  </si>
  <si>
    <t>92484U</t>
  </si>
  <si>
    <t>MONTAGEM E DESMONTAGEM DE FÔRMA DE LAJE MACIÇA COM ÁREA MÉDIA MAIOR QUE 20 M², PÉ-DIREITO SIMPLES, EM MADEIRA SERRADA, 2 UTILIZAÇÕES. AF_12/2015</t>
  </si>
  <si>
    <t>899,40</t>
  </si>
  <si>
    <t>03.02.132</t>
  </si>
  <si>
    <t>92785U</t>
  </si>
  <si>
    <t>ARMAÇÃO DE LAJE DE UMA ESTRUTURA CONVENCIONAL DE CONCRETO ARMADO EM UMA EDIFICAÇÃO TÉRREA OU SOBRADO UTILIZANDO AÇO CA-50 DE 6,3 MM - MONTAGEM. AF_12/2015</t>
  </si>
  <si>
    <t>3.985,30</t>
  </si>
  <si>
    <t>92786U</t>
  </si>
  <si>
    <t>ARMAÇÃO DE LAJE DE UMA ESTRUTURA CONVENCIONAL DE CONCRETO ARMADO EM UMA EDIFICAÇÃO TÉRREA OU SOBRADO UTILIZANDO AÇO CA-50 DE 8,0 MM - MONTAGEM. AF_12/2015</t>
  </si>
  <si>
    <t>5.403,20</t>
  </si>
  <si>
    <t>03.02.133</t>
  </si>
  <si>
    <t>161,05</t>
  </si>
  <si>
    <t>03.02.134</t>
  </si>
  <si>
    <t>Lajes Steel Deck</t>
  </si>
  <si>
    <t>Laje pré-fabricada steel deck para piso com capa de concreto C25 S50, espessura da laje 20 cm, chapa # 0,95 mm</t>
  </si>
  <si>
    <t>03.02.140</t>
  </si>
  <si>
    <t>Cortinas</t>
  </si>
  <si>
    <t>03.02.141</t>
  </si>
  <si>
    <t>100341U</t>
  </si>
  <si>
    <t>FABRICAÇÃO, MONTAGEM E DESMONTAGEM DE FÔRMA PARA CORTINA DE CONTENÇÃO, EM CHAPA DE MADEIRA COMPENSADA PLASTIFICADA, E = 18 MM, 10 UTILIZAÇÕES. AF_07/2019</t>
  </si>
  <si>
    <t>2.516,70</t>
  </si>
  <si>
    <t>03.02.142</t>
  </si>
  <si>
    <t>100342U</t>
  </si>
  <si>
    <t>ARMAÇÃO DE CORTINA DE CONTENÇÃO EM CONCRETO ARMADO, COM AÇO CA-50 DE 6,3 MM - MONTAGEM. AF_07/2019</t>
  </si>
  <si>
    <t>7.734,10</t>
  </si>
  <si>
    <t>100343U</t>
  </si>
  <si>
    <t>ARMAÇÃO DE CORTINA DE CONTENÇÃO EM CONCRETO ARMADO, COM AÇO CA-50 DE 8 MM - MONTAGEM. AF_07/2019</t>
  </si>
  <si>
    <t>7.030,10</t>
  </si>
  <si>
    <t>100344U</t>
  </si>
  <si>
    <t>ARMAÇÃO DE CORTINA DE CONTENÇÃO EM CONCRETO ARMADO, COM AÇO CA-50 DE 10 MM - MONTAGEM. AF_07/2019</t>
  </si>
  <si>
    <t>2.383,70</t>
  </si>
  <si>
    <t>100345U</t>
  </si>
  <si>
    <t>ARMAÇÃO DE CORTINA DE CONTENÇÃO EM CONCRETO ARMADO, COM AÇO CA-50 DE 12,5 MM - MONTAGEM. AF_07/2019</t>
  </si>
  <si>
    <t>1.611,50</t>
  </si>
  <si>
    <t>03.02.143</t>
  </si>
  <si>
    <t>100349U</t>
  </si>
  <si>
    <t>CONCRETAGEM DE CORTINA DE CONTENÇÃO, ATRAVÉS DE BOMBA ? LANÇAMENTO, ADENSAMENTO E ACABAMENTO. AF_07/2019</t>
  </si>
  <si>
    <t>274,08</t>
  </si>
  <si>
    <t>03.02.170</t>
  </si>
  <si>
    <t>Caixas d´água</t>
  </si>
  <si>
    <t>03.02.171</t>
  </si>
  <si>
    <t>214,80</t>
  </si>
  <si>
    <t>MONTAGEM E DESMONTAGEM DE FÔRMA DE LAJE MACIÇA COM ÁREA MÉDIA MENOR OU IGUAL A 20 M², PÉ-DIREITO SIMPLES, EM MADEIRA SERRADA, 2 UTILIZAÇÕES. AF_12/2015</t>
  </si>
  <si>
    <t>17,10</t>
  </si>
  <si>
    <t>03.02.172</t>
  </si>
  <si>
    <t>1.648,90</t>
  </si>
  <si>
    <t>655,60</t>
  </si>
  <si>
    <t>03.02.173</t>
  </si>
  <si>
    <t>CONCRETAGEM DE PAREDES E LAJES DE RESERVATÓRIO D´ÁGUA, FCK=25MPa, ATRAVÉS DE BOMBA, LANÇAMENTO, ADENSAMENTO E ACABAMENTO</t>
  </si>
  <si>
    <t>22,00</t>
  </si>
  <si>
    <t>03.02.180</t>
  </si>
  <si>
    <t>Escadas</t>
  </si>
  <si>
    <t>03.02.181</t>
  </si>
  <si>
    <t>MONTAGEM E DESMONTAGEM DE FÔRMA PARA ESCADAS, COM 2 LANCES, EM CHAPA DE MADEIRA COMPENSADA RESINADA, 4 UTILIZAÇÕES. AF_01/2017</t>
  </si>
  <si>
    <t>125,26</t>
  </si>
  <si>
    <t>03.02.182</t>
  </si>
  <si>
    <t>95944U</t>
  </si>
  <si>
    <t>ARMAÇÃO DE ESCADA, COM 2 LANCES, DE UMA ESTRUTURA CONVENCIONAL DE CONCRETO ARMADO UTILIZANDO AÇO CA-50 DE 6,3 MM - MONTAGEM. AF_01/2017</t>
  </si>
  <si>
    <t>126,50</t>
  </si>
  <si>
    <t>95945U</t>
  </si>
  <si>
    <t>ARMAÇÃO DE ESCADA, COM 2 LANCES, DE UMA ESTRUTURA CONVENCIONAL DE CONCRETO ARMADO UTILIZANDO AÇO CA-50 DE 8,0 MM - MONTAGEM. AF_01/2017</t>
  </si>
  <si>
    <t>317,90</t>
  </si>
  <si>
    <t>95946U</t>
  </si>
  <si>
    <t>ARMAÇÃO DE ESCADA, COM 2 LANCES, DE UMA ESTRUTURA CONVENCIONAL DE CONCRETO ARMADO UTILIZANDO AÇO CA-50 DE 10,0 MM - MONTAGEM. AF_01/2017</t>
  </si>
  <si>
    <t>180,40</t>
  </si>
  <si>
    <t>03.02.183</t>
  </si>
  <si>
    <t>22,50</t>
  </si>
  <si>
    <t>03.02.400</t>
  </si>
  <si>
    <t>Diversos</t>
  </si>
  <si>
    <t>90439U</t>
  </si>
  <si>
    <t>FURO EM CONCRETO PARA DIÂMETROS MENORES OU IGUAIS A 40 MM. AF_05/2015</t>
  </si>
  <si>
    <t>24,00</t>
  </si>
  <si>
    <t>90440U</t>
  </si>
  <si>
    <t>FURO EM CONCRETO PARA DIÂMETROS MAIORES QUE 40 MM E MENORES OU IGUAIS A 75 MM. AF_05/2015</t>
  </si>
  <si>
    <t>48,00</t>
  </si>
  <si>
    <t>90441U</t>
  </si>
  <si>
    <t>FURO EM CONCRETO PARA DIÂMETROS MAIORES QUE 75 MM. AF_05/2015</t>
  </si>
  <si>
    <t>241,00</t>
  </si>
  <si>
    <t>03.02.430</t>
  </si>
  <si>
    <t>Juntas de Dilatação</t>
  </si>
  <si>
    <t>JUNTA DE DILATACAO COM ISOPOR 10 MM</t>
  </si>
  <si>
    <t>81,90</t>
  </si>
  <si>
    <t>JUNTA DE DILATACAO ELASTICA (PVC) O-220/6 PRESSAO ATE 30 MCA</t>
  </si>
  <si>
    <t>121,00</t>
  </si>
  <si>
    <t>03.03.000</t>
  </si>
  <si>
    <t>Estruturas Metálicas</t>
  </si>
  <si>
    <t>03.03.100</t>
  </si>
  <si>
    <t>Estrutura Metálica Completa</t>
  </si>
  <si>
    <t>04.00.000</t>
  </si>
  <si>
    <t>ARQUITETURA E ELEMENTOS DE URBANISMO</t>
  </si>
  <si>
    <t>04.01.000</t>
  </si>
  <si>
    <t>Arquitetura</t>
  </si>
  <si>
    <t>04.01.100</t>
  </si>
  <si>
    <t>Paredes</t>
  </si>
  <si>
    <t>04.01.102</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</si>
  <si>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</si>
  <si>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</si>
  <si>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247,00</t>
  </si>
  <si>
    <t>93184U</t>
  </si>
  <si>
    <t>VERGA PRÉ-MOLDADA PARA PORTAS COM ATÉ 1,5 M DE VÃO. AF_03/2016</t>
  </si>
  <si>
    <t>25,00</t>
  </si>
  <si>
    <t>93202U</t>
  </si>
  <si>
    <t>FIXAÇÃO (ENCUNHAMENTO) DE ALVENARIA DE VEDAÇÃO COM TIJOLO MACIÇO. AF_03/2016</t>
  </si>
  <si>
    <t>1.256,20</t>
  </si>
  <si>
    <t>04.01.104</t>
  </si>
  <si>
    <t>Alvenaria de vedação com tijolo cerâmico laminados 5,5 x 11 x 23,5 cm, espessura da parede 11 cm, juntas de 10 mm com argamassa mista de cimento, cal e areia traço 1:1:6</t>
  </si>
  <si>
    <t>04.01.114</t>
  </si>
  <si>
    <t>Cobogó de tijolo cerâmico laminados 5,5 x 11 x 23,5 cm, espessura 11 cm, juntas de 10 mm com argamassa mista de cimento, cal e areia traço 1:1:6, tipo pilarete</t>
  </si>
  <si>
    <t>Cobogó de tijolo cerâmico laminados 5,5 x 11 x 23,5 cm, espessura 11 cm, juntas de 10 mm com argamassa mista de cimento, cal e areia traço 1:1:6, tipo Zigzag</t>
  </si>
  <si>
    <t>04.01.120</t>
  </si>
  <si>
    <t>142,50</t>
  </si>
  <si>
    <t>04.01.200</t>
  </si>
  <si>
    <t>Esquadrias</t>
  </si>
  <si>
    <t>04.01.201</t>
  </si>
  <si>
    <t>Porta de ferro em chapa maciça</t>
  </si>
  <si>
    <t>Porta Metálica de abrir, comm perfis estruturantes e caixilhos de aço, fechamento em chapa fina dobrada</t>
  </si>
  <si>
    <t>Porta Metálica de abrir, comm perfis estruturantes e caixilhos de aço, fechamento em chapa fina dobrada, com isolamento acústico</t>
  </si>
  <si>
    <t>ALCAPAO EM FERRO 70X70CM, INCLUSO FERRAGENS</t>
  </si>
  <si>
    <t>3,00</t>
  </si>
  <si>
    <t>04.01.204</t>
  </si>
  <si>
    <t>Porta de ferro em tela metálica</t>
  </si>
  <si>
    <t>04.01.208</t>
  </si>
  <si>
    <t>Porta corta-fogo</t>
  </si>
  <si>
    <t>90838U</t>
  </si>
  <si>
    <t>PORTA CORTA-FOGO 90X210X4CM - FORNECIMENTO E INSTALAÇÃO. AF_08/2015</t>
  </si>
  <si>
    <t>04.01.211</t>
  </si>
  <si>
    <t>Caixilho móvel de ferro em barras</t>
  </si>
  <si>
    <t>2,00</t>
  </si>
  <si>
    <t>CX-09 (6,07x1,75) - Esquadrias com perfis estruturantes e caixilhos em aço, 4 fls.(2 de correr + 2 fixas) para vidro</t>
  </si>
  <si>
    <t>CX-10 (3,785x1,95) - Esquadrias com perfis estruturantes e caixilhos em aço, 4 fls.(2 de correr + 2 fixas) para vidro</t>
  </si>
  <si>
    <t>CX-11 (11,75x2,30) - Esquadrias com perfis estruturantes e caixilhos em aço, 12 fls. de correr para vidro</t>
  </si>
  <si>
    <t>CX-12 (2,77x2,30) - Esquadrias com perfis estruturantes e caixilhos em aço, 2 fls. de correr para vidro</t>
  </si>
  <si>
    <t>CX-13 (11,85x2,85) - Esquadrias com perfis estruturantes e caixilhos em aço, 24 fls. (2 portas de correr + 12 janelas max.ar + 10 fls. fixas)</t>
  </si>
  <si>
    <t>CX-14 (4,39x0,75) - Esquadrias com perfis estruturantes e caixilhos em aço, 5 fls. máximo ar</t>
  </si>
  <si>
    <t>CX-15 (1,50x0,75) - Esquadrias com perfis estruturantes e caixilhos em aço, 2 fls. máximo ar</t>
  </si>
  <si>
    <t>CX-16 (4,11x0,75) - Esquadrias com perfis estruturantes e caixilhos em aço, 5 fls. máximo ar</t>
  </si>
  <si>
    <t>CX-17 (2,95x1,75) - Esquadrias com perfis estruturantes e caixilhos em aço, 4 fls. (2 de correr + 2 fixas) para vidro</t>
  </si>
  <si>
    <t>04.01.212</t>
  </si>
  <si>
    <t>Caixilho fixo de ferro</t>
  </si>
  <si>
    <t>Caixilho fixo de aço em veneziana</t>
  </si>
  <si>
    <t>Caixilho fixo de aço em barra</t>
  </si>
  <si>
    <t>155,10</t>
  </si>
  <si>
    <t>Pergolado metálico em tubo retangular 100x150mm</t>
  </si>
  <si>
    <t>73,95</t>
  </si>
  <si>
    <t>12189/ORSE</t>
  </si>
  <si>
    <t>Corrimão duplo central em tubo de ferro galvanizado 1 1/2", com chumbadores para fixação no piso</t>
  </si>
  <si>
    <t>ESCADA TIPO MARINHEIRO EM TUBO ACO GALVANIZADO 1 1/2" 5 DEGRAUS</t>
  </si>
  <si>
    <t>99837U</t>
  </si>
  <si>
    <t>GUARDA-CORPO DE AÇO GALVANIZADO DE 1,10M, MONTANTES TUBULARES DE 1.1/4" ESPAÇADOS DE 1,20M, TRAVESSA SUPERIOR DE 1.1/2", GRADIL FORMADO POR TUBOS HORIZONTAIS DE 1" E VERTICAIS DE 3/4", FIXADO COM CHUMBADOR MECÂNICO. AF_04/2019_P</t>
  </si>
  <si>
    <t>04.01.213</t>
  </si>
  <si>
    <t>Caixilho fixo de ferro em tela metálica</t>
  </si>
  <si>
    <t>04.01.240</t>
  </si>
  <si>
    <t>Portas e Janelas de vidro</t>
  </si>
  <si>
    <t>04.01.241</t>
  </si>
  <si>
    <t>Caixilho de alumínio para portas e janelas de vidro</t>
  </si>
  <si>
    <t>04.01.241.12U</t>
  </si>
  <si>
    <t>Caixilho de alumínio para portas de vidro de correr</t>
  </si>
  <si>
    <t>228,28</t>
  </si>
  <si>
    <t>Caixilho de alumínio para janelas de vidro de correr</t>
  </si>
  <si>
    <t>319,83</t>
  </si>
  <si>
    <t>Porta laminado melamínico estrutural TS esp.=10mm, estrutura e ferragens em aluminio, fornecimento e colocação</t>
  </si>
  <si>
    <t>MAT.</t>
  </si>
  <si>
    <t>48,60</t>
  </si>
  <si>
    <t>04.01.300</t>
  </si>
  <si>
    <t>Vidros e Plásticos</t>
  </si>
  <si>
    <t>04.01.303</t>
  </si>
  <si>
    <t>Vidro temperado liso</t>
  </si>
  <si>
    <t>VIDRO TEMPERADO INCOLOR, ESPESSURA 6MM, FORNECIMENTO E INSTALACAO, INCLUSIVE MASSA PARA VEDACAO</t>
  </si>
  <si>
    <t>611,49</t>
  </si>
  <si>
    <t>VIDRO TEMPERADO INCOLOR, ESPESSURA 8MM, FORNECIMENTO E INSTALACAO, INCLUSIVE MASSA PARA VEDACAO</t>
  </si>
  <si>
    <t>883,25</t>
  </si>
  <si>
    <t>VIDRO TEMPERADO INCOLOR, ESPESSURA 10MM, FORNECIMENTO E INSTALACAO, INCLUSIVE MASSA PARA VEDACAO</t>
  </si>
  <si>
    <t>04.01.311</t>
  </si>
  <si>
    <t>Espelho de vidro</t>
  </si>
  <si>
    <t>ESPELHO CRISTAL ESPESSURA 4MM, COM MOLDURA EM ALUMINIO E COMPENSADO 6MM PLASTIFICADO COLADO</t>
  </si>
  <si>
    <t>52,62</t>
  </si>
  <si>
    <t>04.01.400</t>
  </si>
  <si>
    <t>Cobertura e Fechamento Lateral</t>
  </si>
  <si>
    <t>04.01.410</t>
  </si>
  <si>
    <t>Telhas compostas termo-acústicas</t>
  </si>
  <si>
    <t>814,50</t>
  </si>
  <si>
    <t>04.01.500</t>
  </si>
  <si>
    <t>Revestimentos</t>
  </si>
  <si>
    <t>04.01.510</t>
  </si>
  <si>
    <t>Revestimentos de Pisos</t>
  </si>
  <si>
    <t>PISO EM GRANILITE, MARMORITE OU GRANITINA ESPESSURA 8 MM, INCLUSO JUNTAS DE DILATACAO PLASTICAS</t>
  </si>
  <si>
    <t>87630U</t>
  </si>
  <si>
    <t>CONTRAPISO EM ARGAMASSA TRAÇO 1:4 (CIMENTO E AREIA), PREPARO MECÂNICO COM BETONEIRA 400 L, APLICADO EM ÁREAS SECAS SOBRE LAJE, ADERIDO, ESPESSURA 3CM. AF_06/2014</t>
  </si>
  <si>
    <t>04.01.530</t>
  </si>
  <si>
    <t>Revestimentos de Paredes</t>
  </si>
  <si>
    <t>REVESTIMENTO PARA PAREDES TIJOLINHO CERÂMICO NATURAL COM 6,5X25,5 CM APLICADAS EM AMBIENTES DE ÁREA MAIOR QUE 5 M² NA ALTURA INTEIRA DAS PAREDES.</t>
  </si>
  <si>
    <t>87531U</t>
  </si>
  <si>
    <t>EMBOÇO, PARA RECEBIMENTO DE CERÂMICA, EM ARGAMASSA TRAÇO 1:2:8, PREPARO MECÂNICO COM BETONEIRA 400L, APLICADO MANUALMENTE EM FACES INTERNAS DE PAREDES, PARA AMBIENTE COM ÁREA ENTRE 5M2 E 10M2, ESPESSURA DE 20MM, COM EXECUÇÃO DE TALISCAS. AF_06/2014</t>
  </si>
  <si>
    <t>87874U</t>
  </si>
  <si>
    <t>CHAPISCO APLICADO EM ALVENARIAS E ESTRUTURAS DE CONCRETO INTERNAS, COM ROLO PARA TEXTURA ACRÍLICA. ARGAMASSA TRAÇO 1:4 E EMULSÃO POLIMÉRICA (ADESIVO) COM PREPARO EM BETONEIRA 400L. AF_06/2014</t>
  </si>
  <si>
    <t>1.536,60</t>
  </si>
  <si>
    <t>87879U</t>
  </si>
  <si>
    <t>CHAPISCO APLICADO EM ALVENARIAS E ESTRUTURAS DE CONCRETO INTERNAS, COM COLHER DE PEDREIRO. ARGAMASSA TRAÇO 1:3 COM PREPARO EM BETONEIRA 400L. AF_06/2014</t>
  </si>
  <si>
    <t>89048U</t>
  </si>
  <si>
    <t>EMBOÇO/MASSA ÚNICA, TRAÇO 1:2:8, PREPARO MECÂNICO, COM BETONEIRA DE 400L, EM PAREDES DE AMBIENTES INTERNOS, COM EXECUÇÃO DE TALISCAS, PARA EDIFICAÇÃO HABITACIONAL MULTIFAMILIAR (PRÉDIO). AF_11/2014</t>
  </si>
  <si>
    <t>2.002,87</t>
  </si>
  <si>
    <t>04.01.550</t>
  </si>
  <si>
    <t>Revestimentos de Forro</t>
  </si>
  <si>
    <t>96110U</t>
  </si>
  <si>
    <t>FORRO EM DRYWALL, PARA AMBIENTES RESIDENCIAIS, INCLUSIVE ESTRUTURA DE FIXAÇÃO. AF_05/2017_P</t>
  </si>
  <si>
    <t>2.678,42</t>
  </si>
  <si>
    <t>96121U</t>
  </si>
  <si>
    <t>ACABAMENTOS PARA FORRO (RODA-FORRO EM PERFIL METÁLICO E PLÁSTICO). AF_05/2017</t>
  </si>
  <si>
    <t>1.205,30</t>
  </si>
  <si>
    <t>04.01.560</t>
  </si>
  <si>
    <t>Pintura</t>
  </si>
  <si>
    <t>Pintura com hidrorepelente incolor à base de resina de silicone, sobre tijolo aparente</t>
  </si>
  <si>
    <t>PINTURA COM TINTA A BASE DE BORRACHA CLORADA, 2 DEMAOS</t>
  </si>
  <si>
    <t>420,00</t>
  </si>
  <si>
    <t>232,69</t>
  </si>
  <si>
    <t>PINTURA COM TINTA A BASE DE BORRACHA CLORADA , DE FAIXAS DE DEMARCACAO, EM QUADRA POLIESPORTIVA, 5 CM DE LARGURA.</t>
  </si>
  <si>
    <t>ML</t>
  </si>
  <si>
    <t>378,00</t>
  </si>
  <si>
    <t>88488U</t>
  </si>
  <si>
    <t>APLICAÇÃO MANUAL DE PINTURA COM TINTA LÁTEX ACRÍLICA EM TETO, DUAS DEMÃOS. AF_06/2014</t>
  </si>
  <si>
    <t>2.897,19</t>
  </si>
  <si>
    <t>88489U</t>
  </si>
  <si>
    <t>APLICAÇÃO MANUAL DE PINTURA COM TINTA LÁTEX ACRÍLICA EM PAREDES, DUAS DEMÃOS. AF_06/2014</t>
  </si>
  <si>
    <t>88494U</t>
  </si>
  <si>
    <t>APLICAÇÃO E LIXAMENTO DE MASSA LÁTEX EM TETO, UMA DEMÃO. AF_06/2014</t>
  </si>
  <si>
    <t>96129U</t>
  </si>
  <si>
    <t>APLICAÇÃO MANUAL DE MASSA ACRÍLICA EM SUPERFÍCIES INTERNAS DE EDIFÍCIOS, UMA DEMÃO. AF_05/2017</t>
  </si>
  <si>
    <t>04.01.580</t>
  </si>
  <si>
    <t>Mantas termoacústicas</t>
  </si>
  <si>
    <t>Painel com placas de gesso acartonado e isolamento acústico</t>
  </si>
  <si>
    <t>04.01.600</t>
  </si>
  <si>
    <t>Impermeabilizações</t>
  </si>
  <si>
    <t>04.01.603.3U</t>
  </si>
  <si>
    <t>EXECUCAO DE MANTA GEOTEXTIL 400 G/M2</t>
  </si>
  <si>
    <t>4.140,64</t>
  </si>
  <si>
    <t>Impermeabilização com aditivo cristalizante em argamassa ou concreto</t>
  </si>
  <si>
    <t>353,03</t>
  </si>
  <si>
    <t>720,98</t>
  </si>
  <si>
    <t>PREPARO DE SUPERFÍCIE P/ IMPERMEABILIZAÇÃO, ESPESSURA MÉDIA 3CM.EM ARGAMASSA TRAÇO 1:4 (CIMENTO E AREIA), PREPARO MECÂNICO COM BETONEIRA 400 L</t>
  </si>
  <si>
    <t>1.020,22</t>
  </si>
  <si>
    <t>Impermeabilização de cobertura utilizando manta asfáltica com armadura de filme de polietileno - com mão de obra empreitada</t>
  </si>
  <si>
    <t>87765U</t>
  </si>
  <si>
    <t>CONTRAPISO EM ARGAMASSA TRAÇO 1:4 (CIMENTO E AREIA), PREPARO MECÂNICO COM BETONEIRA 400 L, APLICADO EM ÁREAS MOLHADAS SOBRE IMPERMEABILIZAÇÃO, ESPESSURA 4CM. AF_06/2014</t>
  </si>
  <si>
    <t>5.335,22</t>
  </si>
  <si>
    <t>98546U</t>
  </si>
  <si>
    <t>IMPERMEABILIZAÇÃO DE SUPERFÍCIE COM MANTA ASFÁLTICA, UMA CAMADA, INCLUSIVE APLICAÇÃO DE PRIMER ASFÁLTICO, E=3MM. AF_06/2018</t>
  </si>
  <si>
    <t>1.194,58</t>
  </si>
  <si>
    <t>98547U</t>
  </si>
  <si>
    <t>IMPERMEABILIZAÇÃO DE SUPERFÍCIE COM MANTA ASFÁLTICA, DUAS CAMADAS, INCLUSIVE APLICAÇÃO DE PRIMER ASFÁLTICO, E=3MM E E=4MM. AF_06/2018</t>
  </si>
  <si>
    <t>98555U</t>
  </si>
  <si>
    <t>IMPERMEABILIZAÇÃO DE SUPERFÍCIE COM ARGAMASSA POLIMÉRICA / MEMBRANA ACRÍLICA, 3 DEMÃOS. AF_06/2018</t>
  </si>
  <si>
    <t>1.035,90</t>
  </si>
  <si>
    <t>98556U</t>
  </si>
  <si>
    <t>IMPERMEABILIZAÇÃO DE SUPERFÍCIE COM ARGAMASSA POLIMÉRICA / MEMBRANA ACRÍLICA, 4 DEMÃOS, REFORÇADA COM VÉU DE POLIÉSTER (MAV). AF_06/2018</t>
  </si>
  <si>
    <t>1.923,63</t>
  </si>
  <si>
    <t>354,30</t>
  </si>
  <si>
    <t>04.01.700</t>
  </si>
  <si>
    <t>Acabamentos e Arremates</t>
  </si>
  <si>
    <t>04.01.701</t>
  </si>
  <si>
    <t>Rodapés</t>
  </si>
  <si>
    <t>RODAPE EM MARMORITE, ALTURA 10CM</t>
  </si>
  <si>
    <t>1.906,45</t>
  </si>
  <si>
    <t>04.01.702</t>
  </si>
  <si>
    <t>Soleiras</t>
  </si>
  <si>
    <t>04.01.703</t>
  </si>
  <si>
    <t>Peitoris</t>
  </si>
  <si>
    <t>Peitoril com pingadeira em concreto prémoldado largura 75cm, espessura 4cm</t>
  </si>
  <si>
    <t>m</t>
  </si>
  <si>
    <t>188,68</t>
  </si>
  <si>
    <t>Peitoril de granito natural 25 cm, assentado com argamassa mista de cimento, cal e areia</t>
  </si>
  <si>
    <t>175,47</t>
  </si>
  <si>
    <t>04.01.800</t>
  </si>
  <si>
    <t>Equipamentos e Acessórios</t>
  </si>
  <si>
    <t>50,60</t>
  </si>
  <si>
    <t>04.02.000</t>
  </si>
  <si>
    <t>Comunicação Visual</t>
  </si>
  <si>
    <t>20,00</t>
  </si>
  <si>
    <t>11084/ORSE</t>
  </si>
  <si>
    <t>Placa indicativa de setor em acrílico e adesivo dim.: 45 x 22 cm</t>
  </si>
  <si>
    <t>11475/ORSE</t>
  </si>
  <si>
    <t>Placa indicativa em acrílico e adesivo Pictograma dim.: 15 x 15 cm</t>
  </si>
  <si>
    <t>11476/ORSE</t>
  </si>
  <si>
    <t>Placa indicativa de portas em acrílico e adesivo dim.: 12 x 30 cm,</t>
  </si>
  <si>
    <t>91,00</t>
  </si>
  <si>
    <t>04.04.000</t>
  </si>
  <si>
    <t>Paisagismo</t>
  </si>
  <si>
    <t>98503U</t>
  </si>
  <si>
    <t>PLANTIO DE GRAMA EM PAVIMENTO CONCREGRAMA. AF_05/2018</t>
  </si>
  <si>
    <t>896,00</t>
  </si>
  <si>
    <t>98504U</t>
  </si>
  <si>
    <t>PLANTIO DE GRAMA EM PLACAS. AF_05/2018</t>
  </si>
  <si>
    <t>04.05.000</t>
  </si>
  <si>
    <t>Pavimentação</t>
  </si>
  <si>
    <t>04.05.100</t>
  </si>
  <si>
    <t>Serviços Preliminares</t>
  </si>
  <si>
    <t>744,45</t>
  </si>
  <si>
    <t>17.122,35</t>
  </si>
  <si>
    <t>04.05.102</t>
  </si>
  <si>
    <t>Preparo e regularização do subleito</t>
  </si>
  <si>
    <t>REGULARIZACAO E COMPACTACAO DE SUBLEITO ATE 20 CM DE ESPESSURA</t>
  </si>
  <si>
    <t>2.338,00</t>
  </si>
  <si>
    <t>ESCAVACAO MECANICA DE MATERIAL 1A. CATEGORIA, PROVENIENTE DE CORTE DE SUBLEITO (C/TRATOR ESTEIRAS 160HP)</t>
  </si>
  <si>
    <t>468,00</t>
  </si>
  <si>
    <t>04.05.103</t>
  </si>
  <si>
    <t>Guias</t>
  </si>
  <si>
    <t>94273U</t>
  </si>
  <si>
    <t>ASSENTAMENTO DE GUIA (MEIO-FIO) EM TRECHO RETO, CONFECCIONADA EM CONCRETO PRÉ-FABRICADO, DIMENSÕES 100X15X13X30 CM (COMPRIMENTO X BASE INFERIOR X BASE SUPERIOR X ALTURA), PARA VIAS URBANAS (USO VIÁRIO). AF_06/2016</t>
  </si>
  <si>
    <t>339,00</t>
  </si>
  <si>
    <t>04.05.300</t>
  </si>
  <si>
    <t>Sub-bases e Bases</t>
  </si>
  <si>
    <t>Base ou sub-base de brita graduada com brita comercial</t>
  </si>
  <si>
    <t>04.05.600</t>
  </si>
  <si>
    <t>92391U</t>
  </si>
  <si>
    <t>EXECUÇÃO DE PAVIMENTO EM PISO INTERTRAVADO, COM BLOCO PISOGRAMA DE 35 X 25 CM, ESPESSURA 6 CM. AF_12/2015</t>
  </si>
  <si>
    <t>92397U</t>
  </si>
  <si>
    <t>EXECUÇÃO DE PÁTIO/ESTACIONAMENTO EM PISO INTERTRAVADO, COM BLOCO RETANGULAR COR NATURAL DE 20 X 10 CM, ESPESSURA 6 CM. AF_12/2015</t>
  </si>
  <si>
    <t>04.05.610</t>
  </si>
  <si>
    <t>Calçadas externas</t>
  </si>
  <si>
    <t>92396U</t>
  </si>
  <si>
    <t>EXECUÇÃO DE PASSEIO EM PISO INTERTRAVADO, COM BLOCO RETANGULAR COR NATURAL DE 20 X 10 CM, ESPESSURA 6 CM. AF_12/2015</t>
  </si>
  <si>
    <t>04.06.000</t>
  </si>
  <si>
    <t>Sistema Viário</t>
  </si>
  <si>
    <t>Pintura de faixa - termoplástico por aspersão - espessura de 1,5 mm</t>
  </si>
  <si>
    <t>48,30</t>
  </si>
  <si>
    <t>Confecção de placa em aluminio, espessura de 1,5 mm, modulada, aérea, com película retrorrefletiva tipo III + III</t>
  </si>
  <si>
    <t>Pintura de setas e zebrados - termoplástico por aspersão - espessura de 1,5 mm</t>
  </si>
  <si>
    <t>30,60</t>
  </si>
  <si>
    <t>05.00.000</t>
  </si>
  <si>
    <t>INSTALAÇÕES HIDRÁULICAS E SANITÁRIAS</t>
  </si>
  <si>
    <t>05.01.000</t>
  </si>
  <si>
    <t>Água Fria</t>
  </si>
  <si>
    <t>05.01.100</t>
  </si>
  <si>
    <t>Tubulações de aço carbono</t>
  </si>
  <si>
    <t>89352U</t>
  </si>
  <si>
    <t>REGISTRO DE GAVETA BRUTO, LATÃO, ROSCÁVEL, 1/2", FORNECIDO E INSTALADO EM RAMAL DE ÁGUA. AF_12/2014</t>
  </si>
  <si>
    <t>9,00</t>
  </si>
  <si>
    <t>92344U</t>
  </si>
  <si>
    <t>NIPLE, EM FERRO GALVANIZADO, DN 50 (2"), CONEXÃO ROSQUEADA, INSTALADO EM PRUMADAS - FORNECIMENTO E INSTALAÇÃO. AF_12/2015</t>
  </si>
  <si>
    <t>92365U</t>
  </si>
  <si>
    <t>TUBO DE AÇO GALVANIZADO COM COSTURA, CLASSE MÉDIA, DN 40 (1 1/2"), CONEXÃO ROSQUEADA, INSTALADO EM REDE DE ALIMENTAÇÃO PARA HIDRANTE - FORNECIMENTO E INSTALAÇÃO. AF_12/2015</t>
  </si>
  <si>
    <t>12,00</t>
  </si>
  <si>
    <t>92366U</t>
  </si>
  <si>
    <t>TUBO DE AÇO GALVANIZADO COM COSTURA, CLASSE MÉDIA, DN 50 (2"), CONEXÃO ROSQUEADA, INSTALADO EM REDE DE ALIMENTAÇÃO PARA HIDRANTE - FORNECIMENTO E INSTALAÇÃO. AF_12/2015</t>
  </si>
  <si>
    <t>6,00</t>
  </si>
  <si>
    <t>92373U</t>
  </si>
  <si>
    <t>NIPLE, EM FERRO GALVANIZADO, DN 40 (1 1/2"), CONEXÃO ROSQUEADA, INSTALADO EM REDE DE ALIMENTAÇÃO PARA HIDRANTE - FORNECIMENTO E INSTALAÇÃO. AF_12/2015</t>
  </si>
  <si>
    <t>92639U</t>
  </si>
  <si>
    <t>TÊ, EM FERRO GALVANIZADO, CONEXÃO ROSQUEADA, DN 40 (1 1/2"), INSTALADO EM REDE DE ALIMENTAÇÃO PARA HIDRANTE - FORNECIMENTO E INSTALAÇÃO. AF_12/2015</t>
  </si>
  <si>
    <t>5,00</t>
  </si>
  <si>
    <t>92901U</t>
  </si>
  <si>
    <t>UNIÃO, EM FERRO GALVANIZADO, CONEXÃO ROSQUEADA, DN 50 (2"), INSTALADO EM REDE DE ALIMENTAÇÃO PARA SPRINKLER - FORNECIMENTO E INSTALAÇÃO. AF_12/2015</t>
  </si>
  <si>
    <t>92904U</t>
  </si>
  <si>
    <t>UNIÃO, EM FERRO GALVANIZADO, CONEXÃO ROSQUEADA, DN 15 (1/2"), INSTALADO EM RAMAIS E SUB-RAMAIS DE GÁS - FORNECIMENTO E INSTALAÇÃO. AF_12/2015</t>
  </si>
  <si>
    <t>7,00</t>
  </si>
  <si>
    <t>93063U</t>
  </si>
  <si>
    <t>JUNTA DE EXPANSÃO EM BRONZE/LATÃO, DN 35 MM, PONTA X PONTA, INSTALADO EM PRUMADA ? FORNECIMENTO E INSTALAÇÃO. AF_01/2016</t>
  </si>
  <si>
    <t>93069U</t>
  </si>
  <si>
    <t>JUNTA DE EXPANSÃO EM BRONZE/LATÃO, DN 54 MM, PONTA X PONTA, INSTALADO EM PRUMADA ? FORNECIMENTO E INSTALAÇÃO. AF_01/2016</t>
  </si>
  <si>
    <t>94498U</t>
  </si>
  <si>
    <t>REGISTRO DE GAVETA BRUTO, LATÃO, ROSCÁVEL, 2?, INSTALADO EM RESERVAÇÃO DE ÁGUA DE EDIFICAÇÃO QUE POSSUA RESERVATÓRIO DE FIBRA/FIBROCIMENTO ? FORNECIMENTO E INSTALAÇÃO. AF_06/2016</t>
  </si>
  <si>
    <t>94711U</t>
  </si>
  <si>
    <t>ADAPTADOR COM FLANGES LIVRES, PVC, SOLDÁVEL, DN 50 MM X 1 1/2 , INSTALADO EM RESERVAÇÃO DE ÁGUA DE EDIFICAÇÃO QUE POSSUA RESERVATÓRIO DE FIBRA/FIBROCIMENTO FORNECIMENTO E INSTALAÇÃO. AF_06/2016</t>
  </si>
  <si>
    <t>99627U</t>
  </si>
  <si>
    <t>VÁLVULA DE RETENÇÃO VERTICAL, DE BRONZE, ROSCÁVEL, 1/2" - FORNECIMENTO E INSTALAÇÃO. AF_01/2019</t>
  </si>
  <si>
    <t>05.01.200</t>
  </si>
  <si>
    <t>Tubulações e Conexões de PVC rígido</t>
  </si>
  <si>
    <t>Joelho 90° soldável PVC com rosca metálica Ø 25 mm x 1/2"</t>
  </si>
  <si>
    <t>150,00</t>
  </si>
  <si>
    <t>Bucha de redução soldável PVC curta Ø 32 mm x 25 mm</t>
  </si>
  <si>
    <t>Bucha de redução soldável PVC curta Ø 40 mm x 32 mm</t>
  </si>
  <si>
    <t>Bucha de redução soldável PVC curta Ø 50 mm x 40 mm</t>
  </si>
  <si>
    <t>8,00</t>
  </si>
  <si>
    <t>89381U</t>
  </si>
  <si>
    <t>LUVA COM BUCHA DE LATÃO, PVC, SOLDÁVEL, DN 25MM X 3/4?, INSTALADO EM RAMAL OU SUB-RAMAL DE ÁGUA - FORNECIMENTO E INSTALAÇÃO. AF_12/2014</t>
  </si>
  <si>
    <t>21,00</t>
  </si>
  <si>
    <t>89409U</t>
  </si>
  <si>
    <t>JOELHO 45 GRAUS, PVC, SOLDÁVEL, DN 25MM, INSTALADO EM RAMAL DE DISTRIBUIÇÃO DE ÁGUA - FORNECIMENTO E INSTALAÇÃO. AF_12/2014</t>
  </si>
  <si>
    <t>80,00</t>
  </si>
  <si>
    <t>89425U</t>
  </si>
  <si>
    <t>LUVA DE CORRER, PVC, SOLDÁVEL, DN 25MM, INSTALADO EM RAMAL DE DISTRIBUIÇÃO DE ÁGUA - FORNECIMENTO E INSTALAÇÃO. AF_12/2014</t>
  </si>
  <si>
    <t>50,00</t>
  </si>
  <si>
    <t>89446U</t>
  </si>
  <si>
    <t>TUBO, PVC, SOLDÁVEL, DN 25MM, INSTALADO EM PRUMADA DE ÁGUA - FORNECIMENTO E INSTALAÇÃO. AF_12/2014</t>
  </si>
  <si>
    <t>488,00</t>
  </si>
  <si>
    <t>89447U</t>
  </si>
  <si>
    <t>TUBO, PVC, SOLDÁVEL, DN 32MM, INSTALADO EM PRUMADA DE ÁGUA - FORNECIMENTO E INSTALAÇÃO. AF_12/2014</t>
  </si>
  <si>
    <t>89448U</t>
  </si>
  <si>
    <t>TUBO, PVC, SOLDÁVEL, DN 40MM, INSTALADO EM PRUMADA DE ÁGUA - FORNECIMENTO E INSTALAÇÃO. AF_12/2014</t>
  </si>
  <si>
    <t>272,00</t>
  </si>
  <si>
    <t>89449U</t>
  </si>
  <si>
    <t>TUBO, PVC, SOLDÁVEL, DN 50MM, INSTALADO EM PRUMADA DE ÁGUA - FORNECIMENTO E INSTALAÇÃO. AF_12/2014</t>
  </si>
  <si>
    <t>117,00</t>
  </si>
  <si>
    <t>89450U</t>
  </si>
  <si>
    <t>TUBO, PVC, SOLDÁVEL, DN 60MM, INSTALADO EM PRUMADA DE ÁGUA - FORNECIMENTO E INSTALAÇÃO. AF_12/2014</t>
  </si>
  <si>
    <t>89489U</t>
  </si>
  <si>
    <t>CURVA 90 GRAUS, PVC, SOLDÁVEL, DN 25MM, INSTALADO EM PRUMADA DE ÁGUA - FORNECIMENTO E INSTALAÇÃO. AF_12/2014</t>
  </si>
  <si>
    <t>89494U</t>
  </si>
  <si>
    <t>CURVA 90 GRAUS, PVC, SOLDÁVEL, DN 32MM, INSTALADO EM PRUMADA DE ÁGUA - FORNECIMENTO E INSTALAÇÃO. AF_12/2014</t>
  </si>
  <si>
    <t>89498U</t>
  </si>
  <si>
    <t>JOELHO 45 GRAUS, PVC, SOLDÁVEL, DN 40MM, INSTALADO EM PRUMADA DE ÁGUA - FORNECIMENTO E INSTALAÇÃO. AF_12/2014</t>
  </si>
  <si>
    <t>89499U</t>
  </si>
  <si>
    <t>CURVA 90 GRAUS, PVC, SOLDÁVEL, DN 40MM, INSTALADO EM PRUMADA DE ÁGUA - FORNECIMENTO E INSTALAÇÃO. AF_12/2014</t>
  </si>
  <si>
    <t>89502U</t>
  </si>
  <si>
    <t>JOELHO 45 GRAUS, PVC, SOLDÁVEL, DN 50MM, INSTALADO EM PRUMADA DE ÁGUA - FORNECIMENTO E INSTALAÇÃO. AF_12/2014</t>
  </si>
  <si>
    <t>89503U</t>
  </si>
  <si>
    <t>CURVA 90 GRAUS, PVC, SOLDÁVEL, DN 50MM, INSTALADO EM PRUMADA DE ÁGUA - FORNECIMENTO E INSTALAÇÃO. AF_12/2014</t>
  </si>
  <si>
    <t>344,00</t>
  </si>
  <si>
    <t>89507U</t>
  </si>
  <si>
    <t>CURVA 90 GRAUS, PVC, SOLDÁVEL, DN 60MM, INSTALADO EM PRUMADA DE ÁGUA - FORNECIMENTO E INSTALAÇÃO. AF_12/2014</t>
  </si>
  <si>
    <t>94688U</t>
  </si>
  <si>
    <t>TÊ, PVC, SOLDÁVEL, DN 25 MM INSTALADO EM RESERVAÇÃO DE ÁGUA DE EDIFICAÇÃO QUE POSSUA RESERVATÓRIO DE FIBRA/FIBROCIMENTO FORNECIMENTO E INSTALAÇÃO. AF_06/2016</t>
  </si>
  <si>
    <t>120,00</t>
  </si>
  <si>
    <t>94692U</t>
  </si>
  <si>
    <t>TÊ, PVC, SOLDÁVEL, DN 40 MM INSTALADO EM RESERVAÇÃO DE ÁGUA DE EDIFICAÇÃO QUE POSSUA RESERVATÓRIO DE FIBRA/FIBROCIMENTO FORNECIMENTO E INSTALAÇÃO. AF_06/2016</t>
  </si>
  <si>
    <t>94694U</t>
  </si>
  <si>
    <t>TÊ, PVC, SOLDÁVEL, DN 50 MM INSTALADO EM RESERVAÇÃO DE ÁGUA DE EDIFICAÇÃO QUE POSSUA RESERVATÓRIO DE FIBRA/FIBROCIMENTO FORNECIMENTO E INSTALAÇÃO. AF_06/2016</t>
  </si>
  <si>
    <t>94696U</t>
  </si>
  <si>
    <t>TÊ, PVC, SOLDÁVEL, DN 60 MM INSTALADO EM RESERVAÇÃO DE ÁGUA DE EDIFICAÇÃO QUE POSSUA RESERVATÓRIO DE FIBRA/FIBROCIMENTO FORNECIMENTO E INSTALAÇÃO. AF_06/2016</t>
  </si>
  <si>
    <t>05.01.500</t>
  </si>
  <si>
    <t>Aparelhos e Acessórios Sanitários</t>
  </si>
  <si>
    <t>09676/ORSE</t>
  </si>
  <si>
    <t>47,00</t>
  </si>
  <si>
    <t>12132/ORSE</t>
  </si>
  <si>
    <t>CJ</t>
  </si>
  <si>
    <t>Porta papel toalha para papel interfolha 2 ou 3 dobras, injetado com a frente em plástico ABS branco, com visor frontal para controle de substituição do papel interfolha e fundo em Plástico ABS cinza.</t>
  </si>
  <si>
    <t>Lavatório de louça com coluna suspensa, barra de apoio de canto e misturador monocomando, para pessoas portadoras de necessidades especiais</t>
  </si>
  <si>
    <t>MICTORIO SIFONADO DE LOUCA BRANCA COM PERTENCES, COM REGISTRO DE PRESSAO 1/2" COM CANOPLA CROMADA ACABAMENTO SIMPLES E CONJUNTO PARA FIXACAO - FORNECIMENTO E INSTALACAO</t>
  </si>
  <si>
    <t>13,00</t>
  </si>
  <si>
    <t>86909U</t>
  </si>
  <si>
    <t>TORNEIRA CROMADA TUBO MÓVEL, DE MESA, 1/2" OU 3/4", PARA PIA DE COZINHA, PADRÃO ALTO - FORNECIMENTO E INSTALAÇÃO. AF_12/2013</t>
  </si>
  <si>
    <t>86922U</t>
  </si>
  <si>
    <t>TANQUE DE LOUÇA BRANCA SUSPENSO, 18L OU EQUIVALENTE, INCLUSO SIFÃO TIPO GARRAFA EM METAL CROMADO, VÁLVULA METÁLICA E TORNEIRA DE METAL CROMADO PADRÃO MÉDIO - FORNECIMENTO E INSTALAÇÃO. AF_12/2013</t>
  </si>
  <si>
    <t>86932U</t>
  </si>
  <si>
    <t>VASO SANITÁRIO SIFONADO COM CAIXA ACOPLADA LOUÇA BRANCA - PADRÃO MÉDIO, INCLUSO ENGATE FLEXÍVEL EM METAL CROMADO, 1/2? X 40CM - FORNECIMENTO E INSTALAÇÃO. AF_12/2013</t>
  </si>
  <si>
    <t>45,00</t>
  </si>
  <si>
    <t>86936U</t>
  </si>
  <si>
    <t>CUBA DE EMBUTIR DE AÇO INOXIDÁVEL MÉDIA, INCLUSO VÁLVULA TIPO AMERICANA E SIFÃO TIPO GARRAFA EM METAL CROMADO - FORNECIMENTO E INSTALAÇÃO. AF_12/2013</t>
  </si>
  <si>
    <t>86938U</t>
  </si>
  <si>
    <t>CUBA DE EMBUTIR OVAL EM LOUÇA BRANCA, 35 X 50CM OU EQUIVALENTE, INCLUSO VÁLVULA E SIFÃO TIPO GARRAFA EM METAL CROMADO - FORNECIMENTO E INSTALAÇÃO. AF_12/2013</t>
  </si>
  <si>
    <t>86942U</t>
  </si>
  <si>
    <t>LAVATÓRIO LOUÇA BRANCA SUSPENSO, 29,5 X 39CM OU EQUIVALENTE, PADRÃO POPULAR, INCLUSO SIFÃO TIPO GARRAFA EM PVC, VÁLVULA E ENGATE FLEXÍVEL 30CM EM PLÁSTICO E TORNEIRA CROMADA DE MESA, PADRÃO POPULAR - FORNECIMENTO E INSTALAÇÃO. AF_12/2013</t>
  </si>
  <si>
    <t>89987U</t>
  </si>
  <si>
    <t>REGISTRO DE GAVETA BRUTO, LATÃO, ROSCÁVEL, 3/4", COM ACABAMENTO E CANOPLA CROMADOS. FORNECIDO E INSTALADO EM RAMAL DE ÁGUA. AF_12/2014</t>
  </si>
  <si>
    <t>30,00</t>
  </si>
  <si>
    <t>95472U</t>
  </si>
  <si>
    <t>VASO SANITARIO SIFONADO CONVENCIONAL PARA PCD SEM FURO FRONTAL COM LOUÇA BRANCA SEM ASSENTO, INCLUSO CONJUNTO DE LIGAÇÃO PARA BACIA SANITÁRIA AJUSTÁVEL - FORNECIMENTO E INSTALAÇÃO. AF_10/2016</t>
  </si>
  <si>
    <t>95544U</t>
  </si>
  <si>
    <t>PAPELEIRA DE PAREDE EM METAL CROMADO SEM TAMPA, INCLUSO FIXAÇÃO. AF_10/2016</t>
  </si>
  <si>
    <t>54,00</t>
  </si>
  <si>
    <t>95547U</t>
  </si>
  <si>
    <t>SABONETEIRA PLASTICA TIPO DISPENSER PARA SABONETE LIQUIDO COM RESERVATORIO 800 A 1500 ML, INCLUSO FIXAÇÃO. AF_10/2016</t>
  </si>
  <si>
    <t>05.01.600</t>
  </si>
  <si>
    <t>Equipamentos</t>
  </si>
  <si>
    <t>BOMBA RECALQUE DAGUA TRIFASICA 1,5HP</t>
  </si>
  <si>
    <t>CHAVE DE BOIA AUTOMÁTICA</t>
  </si>
  <si>
    <t>05.03.000</t>
  </si>
  <si>
    <t>Drenagem de Águas Pluviais</t>
  </si>
  <si>
    <t>05.03.300</t>
  </si>
  <si>
    <t>Tubulações e Conexões de PVC</t>
  </si>
  <si>
    <t>PINTURA A OLEO BRILHANTE SOBRE SUPERFICIE METALICA, UMA DEMAO INCLUSO UMA DEMAO DE FUNDO ANTICORROSIVO</t>
  </si>
  <si>
    <t>73,00</t>
  </si>
  <si>
    <t>RALO HEMISFÉRICO DE F°F°, TIPO ABACAXI 75MM</t>
  </si>
  <si>
    <t>RALO HEMISFÉRICO DE F°F°, TIPO ABACAXI 100MM</t>
  </si>
  <si>
    <t>62,00</t>
  </si>
  <si>
    <t>230,00</t>
  </si>
  <si>
    <t>301,00</t>
  </si>
  <si>
    <t>41,00</t>
  </si>
  <si>
    <t>206,00</t>
  </si>
  <si>
    <t>05.03.350</t>
  </si>
  <si>
    <t>Caixas de passagem</t>
  </si>
  <si>
    <t>99260U</t>
  </si>
  <si>
    <t>CAIXA ENTERRADA HIDRÁULICA RETANGULAR, EM ALVENARIA COM BLOCOS DE CONCRETO, DIMENSÕES INTERNAS: 0,6X0,6X0,6 M PARA REDE DE DRENAGEM. AF_05/2018</t>
  </si>
  <si>
    <t>19,00</t>
  </si>
  <si>
    <t>99264U</t>
  </si>
  <si>
    <t>CAIXA ENTERRADA HIDRÁULICA RETANGULAR, EM ALVENARIA COM BLOCOS DE CONCRETO, DIMENSÕES INTERNAS: 1X1X0,6 M PARA REDE DE DRENAGEM. AF_05/2018</t>
  </si>
  <si>
    <t>11,00</t>
  </si>
  <si>
    <t>05.03.900</t>
  </si>
  <si>
    <t>Escavações e Reaterros</t>
  </si>
  <si>
    <t>93358U</t>
  </si>
  <si>
    <t>ESCAVAÇÃO MANUAL DE VALA COM PROFUNDIDADE MENOR OU IGUAL A 1,30 M. AF_03/2016</t>
  </si>
  <si>
    <t>228,00</t>
  </si>
  <si>
    <t>210,00</t>
  </si>
  <si>
    <t>05.04.000</t>
  </si>
  <si>
    <t>Esgotos Sanitários</t>
  </si>
  <si>
    <t>05.04.300</t>
  </si>
  <si>
    <t>Bucha de redução soldável PVC longa Ø 110 mm x 75 mm</t>
  </si>
  <si>
    <t>CAP PVC ESGOTO 100MM (TAMPÃO) - FORNECIMENTO E INSTALAÇÃO</t>
  </si>
  <si>
    <t>89545U</t>
  </si>
  <si>
    <t>LUVA SIMPLES, PVC, SERIE R, ÁGUA PLUVIAL, DN 50 MM, JUNTA ELÁSTICA, FORNECIDO E INSTALADO EM RAMAL DE ENCAMINHAMENTO. AF_12/2014</t>
  </si>
  <si>
    <t>92,00</t>
  </si>
  <si>
    <t>89547U</t>
  </si>
  <si>
    <t>LUVA SIMPLES, PVC, SERIE R, ÁGUA PLUVIAL, DN 75 MM, JUNTA ELÁSTICA, FORNECIDO E INSTALADO EM RAMAL DE ENCAMINHAMENTO. AF_12/2014</t>
  </si>
  <si>
    <t>46,00</t>
  </si>
  <si>
    <t>89554U</t>
  </si>
  <si>
    <t>LUVA SIMPLES, PVC, SERIE R, ÁGUA PLUVIAL, DN 100 MM, JUNTA ELÁSTICA, FORNECIDO E INSTALADO EM RAMAL DE ENCAMINHAMENTO. AF_12/2014</t>
  </si>
  <si>
    <t>109,00</t>
  </si>
  <si>
    <t>89561U</t>
  </si>
  <si>
    <t>JUNÇÃO SIMPLES, PVC, SERIE R, ÁGUA PLUVIAL, DN 40 MM, JUNTA SOLDÁVEL, FORNECIDO E INSTALADO EM RAMAL DE ENCAMINHAMENTO. AF_12/2014</t>
  </si>
  <si>
    <t>89565U</t>
  </si>
  <si>
    <t>JUNÇÃO SIMPLES, PVC, SERIE R, ÁGUA PLUVIAL, DN 75 X 75 MM, JUNTA ELÁSTICA, FORNECIDO E INSTALADO EM RAMAL DE ENCAMINHAMENTO. AF_12/2014</t>
  </si>
  <si>
    <t>89567U</t>
  </si>
  <si>
    <t>JUNÇÃO SIMPLES, PVC, SERIE R, ÁGUA PLUVIAL, DN 100 X 100 MM, JUNTA ELÁSTICA, FORNECIDO E INSTALADO EM RAMAL DE ENCAMINHAMENTO. AF_12/2014</t>
  </si>
  <si>
    <t>38,00</t>
  </si>
  <si>
    <t>89569U</t>
  </si>
  <si>
    <t>JUNÇÃO SIMPLES, PVC, SERIE R, ÁGUA PLUVIAL, DN 100 X 75 MM, JUNTA ELÁSTICA, FORNECIDO E INSTALADO EM RAMAL DE ENCAMINHAMENTO. AF_12/2014</t>
  </si>
  <si>
    <t>89571U</t>
  </si>
  <si>
    <t>TÊ, PVC, SERIE R, ÁGUA PLUVIAL, DN 100 X 100 MM, JUNTA ELÁSTICA, FORNECIDO E INSTALADO EM RAMAL DE ENCAMINHAMENTO. AF_12/2014</t>
  </si>
  <si>
    <t>89711U</t>
  </si>
  <si>
    <t>TUBO PVC, SERIE NORMAL, ESGOTO PREDIAL, DN 40 MM, FORNECIDO E INSTALADO EM RAMAL DE DESCARGA OU RAMAL DE ESGOTO SANITÁRIO. AF_12/2014</t>
  </si>
  <si>
    <t>175,00</t>
  </si>
  <si>
    <t>89712U</t>
  </si>
  <si>
    <t>TUBO PVC, SERIE NORMAL, ESGOTO PREDIAL, DN 50 MM, FORNECIDO E INSTALADO EM RAMAL DE DESCARGA OU RAMAL DE ESGOTO SANITÁRIO. AF_12/2014</t>
  </si>
  <si>
    <t>89713U</t>
  </si>
  <si>
    <t>TUBO PVC, SERIE NORMAL, ESGOTO PREDIAL, DN 75 MM, FORNECIDO E INSTALADO EM RAMAL DE DESCARGA OU RAMAL DE ESGOTO SANITÁRIO. AF_12/2014</t>
  </si>
  <si>
    <t>160,00</t>
  </si>
  <si>
    <t>89714U</t>
  </si>
  <si>
    <t>TUBO PVC, SERIE NORMAL, ESGOTO PREDIAL, DN 100 MM, FORNECIDO E INSTALADO EM RAMAL DE DESCARGA OU RAMAL DE ESGOTO SANITÁRIO. AF_12/2014</t>
  </si>
  <si>
    <t>805,00</t>
  </si>
  <si>
    <t>89724U</t>
  </si>
  <si>
    <t>JOELHO 90 GRAUS, PVC, SERIE NORMAL, ESGOTO PREDIAL, DN 40 MM, JUNTA SOLDÁVEL, FORNECIDO E INSTALADO EM RAMAL DE DESCARGA OU RAMAL DE ESGOTO SANITÁRIO. AF_12/2014</t>
  </si>
  <si>
    <t>172,00</t>
  </si>
  <si>
    <t>89726U</t>
  </si>
  <si>
    <t>JOELHO 45 GRAUS, PVC, SERIE NORMAL, ESGOTO PREDIAL, DN 40 MM, JUNTA SOLDÁVEL, FORNECIDO E INSTALADO EM RAMAL DE DESCARGA OU RAMAL DE ESGOTO SANITÁRIO. AF_12/2014</t>
  </si>
  <si>
    <t>89748U</t>
  </si>
  <si>
    <t>CURVA CURTA 90 GRAUS, PVC, SERIE NORMAL, ESGOTO PREDIAL, DN 100 MM, JUNTA ELÁSTICA, FORNECIDO E INSTALADO EM RAMAL DE DESCARGA OU RAMAL DE ESGOTO SANITÁRIO. AF_12/2014</t>
  </si>
  <si>
    <t>125,00</t>
  </si>
  <si>
    <t>89801U</t>
  </si>
  <si>
    <t>JOELHO 90 GRAUS, PVC, SERIE NORMAL, ESGOTO PREDIAL, DN 50 MM, JUNTA ELÁSTICA, FORNECIDO E INSTALADO EM PRUMADA DE ESGOTO SANITÁRIO OU VENTILAÇÃO. AF_12/2014</t>
  </si>
  <si>
    <t>89802U</t>
  </si>
  <si>
    <t>JOELHO 45 GRAUS, PVC, SERIE NORMAL, ESGOTO PREDIAL, DN 50 MM, JUNTA ELÁSTICA, FORNECIDO E INSTALADO EM PRUMADA DE ESGOTO SANITÁRIO OU VENTILAÇÃO. AF_12/2014</t>
  </si>
  <si>
    <t>89805U</t>
  </si>
  <si>
    <t>JOELHO 90 GRAUS, PVC, SERIE NORMAL, ESGOTO PREDIAL, DN 75 MM, JUNTA ELÁSTICA, FORNECIDO E INSTALADO EM PRUMADA DE ESGOTO SANITÁRIO OU VENTILAÇÃO. AF_12/2014</t>
  </si>
  <si>
    <t>89806U</t>
  </si>
  <si>
    <t>JOELHO 45 GRAUS, PVC, SERIE NORMAL, ESGOTO PREDIAL, DN 75 MM, JUNTA ELÁSTICA, FORNECIDO E INSTALADO EM PRUMADA DE ESGOTO SANITÁRIO OU VENTILAÇÃO. AF_12/2014</t>
  </si>
  <si>
    <t>89810U</t>
  </si>
  <si>
    <t>JOELHO 45 GRAUS, PVC, SERIE NORMAL, ESGOTO PREDIAL, DN 100 MM, JUNTA ELÁSTICA, FORNECIDO E INSTALADO EM PRUMADA DE ESGOTO SANITÁRIO OU VENTILAÇÃO. AF_12/2014</t>
  </si>
  <si>
    <t>60,00</t>
  </si>
  <si>
    <t>05.04.800</t>
  </si>
  <si>
    <t>Acessórios</t>
  </si>
  <si>
    <t>TAMPAO FOFO SIMPLES COM BASE, CLASSE A15 CARGA MAX 1,5 T, 300 X 300 MM, REDE PLUVIAL/ESGOTO</t>
  </si>
  <si>
    <t>ASSENTAMENTO DE TAMPAO DE FERRO FUNDIDO 600 MM</t>
  </si>
  <si>
    <t>97906U</t>
  </si>
  <si>
    <t>CAIXA ENTERRADA HIDRÁULICA RETANGULAR, EM ALVENARIA COM BLOCOS DE CONCRETO, DIMENSÕES INTERNAS: 0,6X0,6X0,6 M PARA REDE DE ESGOTO. AF_05/2018</t>
  </si>
  <si>
    <t>97908U</t>
  </si>
  <si>
    <t>CAIXA ENTERRADA HIDRÁULICA RETANGULAR, EM ALVENARIA COM BLOCOS DE CONCRETO, DIMENSÕES INTERNAS: 1X1X0,6 M PARA REDE DE ESGOTO. AF_05/2018</t>
  </si>
  <si>
    <t>98102U</t>
  </si>
  <si>
    <t>CAIXA DE GORDURA SIMPLES, CIRCULAR, EM CONCRETO PRÉ-MOLDADO, DIÂMETRO INTERNO = 0,4 M, ALTURA INTERNA = 0,4 M. AF_05/2018</t>
  </si>
  <si>
    <t>98104U</t>
  </si>
  <si>
    <t>CAIXA DE GORDURA SIMPLES (CAPACIDADE: 36L), RETANGULAR, EM ALVENARIA COM TIJOLOS CERÂMICOS MACIÇOS, DIMENSÕES INTERNAS = 0,2X0,4 M, ALTURA INTERNA = 0,8 M. AF_05/2018</t>
  </si>
  <si>
    <t>05.04.900</t>
  </si>
  <si>
    <t>168,00</t>
  </si>
  <si>
    <t>161,00</t>
  </si>
  <si>
    <t>06.00.000</t>
  </si>
  <si>
    <t>INSTALAÇÕES ELÉTRICAS E ELETRÔNICAS</t>
  </si>
  <si>
    <t>06.01.000</t>
  </si>
  <si>
    <t>Instalações Elétricas</t>
  </si>
  <si>
    <t>06.01.100</t>
  </si>
  <si>
    <t>Entrada e Medição de Energia em B.T.</t>
  </si>
  <si>
    <t>Conjunto de medição trifásico e entrada de energia</t>
  </si>
  <si>
    <t>06.01.101</t>
  </si>
  <si>
    <t>Condutores de entrada</t>
  </si>
  <si>
    <t>93000U</t>
  </si>
  <si>
    <t>CABO DE COBRE FLEXÍVEL ISOLADO, 240 MM², ANTI-CHAMA 0,6/1,0 KV, PARA DISTRIBUIÇÃO - FORNECIMENTO E INSTALAÇÃO. AF_12/2015</t>
  </si>
  <si>
    <t>185,00</t>
  </si>
  <si>
    <t>06.01.103</t>
  </si>
  <si>
    <t>Eletrodutos</t>
  </si>
  <si>
    <t>93012U</t>
  </si>
  <si>
    <t>ELETRODUTO RÍGIDO ROSCÁVEL, PVC, DN 110 MM (4") - FORNECIMENTO E INSTALAÇÃO. AF_12/2015</t>
  </si>
  <si>
    <t>31,00</t>
  </si>
  <si>
    <t>93026U</t>
  </si>
  <si>
    <t>CURVA 90 GRAUS PARA ELETRODUTO, PVC, ROSCÁVEL, DN 110 MM (4") - FORNECIMENTO E INSTALAÇÃO. AF_12/2015</t>
  </si>
  <si>
    <t>06.01.104</t>
  </si>
  <si>
    <t>Caixas</t>
  </si>
  <si>
    <t>CAIXA DE PASSAGEM 50X50X50 COM TAMPÃO T33 E DRENO BRITA</t>
  </si>
  <si>
    <t>06.01.300</t>
  </si>
  <si>
    <t>Redes de Baixa Tensão</t>
  </si>
  <si>
    <t>06.01.301</t>
  </si>
  <si>
    <t>Quadro geral de baixa tensão</t>
  </si>
  <si>
    <t>QDF Geral</t>
  </si>
  <si>
    <t>06.01.302</t>
  </si>
  <si>
    <t>Quadros de força</t>
  </si>
  <si>
    <t>QL-1</t>
  </si>
  <si>
    <t>QL-2</t>
  </si>
  <si>
    <t>QL-3</t>
  </si>
  <si>
    <t>QL-4</t>
  </si>
  <si>
    <t>QL-5</t>
  </si>
  <si>
    <t>QL-6</t>
  </si>
  <si>
    <t>QL-7</t>
  </si>
  <si>
    <t>QL-Guarita</t>
  </si>
  <si>
    <t>07538/ORSE</t>
  </si>
  <si>
    <t>Quadro de comando para 2 bombas de recalques de 1/3 a 2 cv, trifásica, 220 volts, com chave seletora, acionamento manual/automático, relé de sobrecarga e contatora</t>
  </si>
  <si>
    <t>90458U</t>
  </si>
  <si>
    <t>QUEBRA EM ALVENARIA PARA INSTALAÇÃO DE QUADRO DISTRIBUIÇÃO GRANDE (76X40 CM). AF_05/2015</t>
  </si>
  <si>
    <t>06.01.304</t>
  </si>
  <si>
    <t>148,00</t>
  </si>
  <si>
    <t>91855U</t>
  </si>
  <si>
    <t>ELETRODUTO FLEXÍVEL CORRUGADO REFORÇADO, PVC, DN 25 MM (3/4"), PARA CIRCUITOS TERMINAIS, INSTALADO EM PAREDE - FORNECIMENTO E INSTALAÇÃO. AF_12/2015</t>
  </si>
  <si>
    <t>1.487,00</t>
  </si>
  <si>
    <t>91867U</t>
  </si>
  <si>
    <t>ELETRODUTO RÍGIDO ROSCÁVEL, PVC, DN 25 MM (3/4"), PARA CIRCUITOS TERMINAIS, INSTALADO EM LAJE - FORNECIMENTO E INSTALAÇÃO. AF_12/2015</t>
  </si>
  <si>
    <t>91868U</t>
  </si>
  <si>
    <t>ELETRODUTO RÍGIDO ROSCÁVEL, PVC, DN 32 MM (1"), PARA CIRCUITOS TERMINAIS, INSTALADO EM LAJE - FORNECIMENTO E INSTALAÇÃO. AF_12/2015</t>
  </si>
  <si>
    <t>91869U</t>
  </si>
  <si>
    <t>ELETRODUTO RÍGIDO ROSCÁVEL, PVC, DN 40 MM (1 1/4"), PARA CIRCUITOS TERMINAIS, INSTALADO EM LAJE - FORNECIMENTO E INSTALAÇÃO. AF_12/2015</t>
  </si>
  <si>
    <t>413,00</t>
  </si>
  <si>
    <t>91917U</t>
  </si>
  <si>
    <t>CURVA 90 GRAUS PARA ELETRODUTO, PVC, ROSCÁVEL, DN 32 MM (1"), PARA CIRCUITOS TERMINAIS, INSTALADA EM PAREDE - FORNECIMENTO E INSTALAÇÃO. AF_12/2015</t>
  </si>
  <si>
    <t>91920U</t>
  </si>
  <si>
    <t>CURVA 90 GRAUS PARA ELETRODUTO, PVC, ROSCÁVEL, DN 40 MM (1 1/4"), PARA CIRCUITOS TERMINAIS, INSTALADA EM PAREDE - FORNECIMENTO E INSTALAÇÃO. AF_12/2015</t>
  </si>
  <si>
    <t>93008U</t>
  </si>
  <si>
    <t>ELETRODUTO RÍGIDO ROSCÁVEL, PVC, DN 50 MM (1 1/2") - FORNECIMENTO E INSTALAÇÃO. AF_12/2015</t>
  </si>
  <si>
    <t>268,00</t>
  </si>
  <si>
    <t>93009U</t>
  </si>
  <si>
    <t>ELETRODUTO RÍGIDO ROSCÁVEL, PVC, DN 60 MM (2") - FORNECIMENTO E INSTALAÇÃO. AF_12/2015</t>
  </si>
  <si>
    <t>93018U</t>
  </si>
  <si>
    <t>CURVA 90 GRAUS PARA ELETRODUTO, PVC, ROSCÁVEL, DN 50 MM (1 1/2") - FORNECIMENTO E INSTALAÇÃO. AF_12/2015</t>
  </si>
  <si>
    <t>06.01.305</t>
  </si>
  <si>
    <t>Cabos e fios</t>
  </si>
  <si>
    <t>91926U</t>
  </si>
  <si>
    <t>CABO DE COBRE FLEXÍVEL ISOLADO, 2,5 MM², ANTI-CHAMA 450/750 V, PARA CIRCUITOS TERMINAIS - FORNECIMENTO E INSTALAÇÃO. AF_12/2015</t>
  </si>
  <si>
    <t>49.566,00</t>
  </si>
  <si>
    <t>91931U</t>
  </si>
  <si>
    <t>CABO DE COBRE FLEXÍVEL ISOLADO, 6 MM², ANTI-CHAMA 0,6/1,0 KV, PARA CIRCUITOS TERMINAIS - FORNECIMENTO E INSTALAÇÃO. AF_12/2015</t>
  </si>
  <si>
    <t>2.005,00</t>
  </si>
  <si>
    <t>91933U</t>
  </si>
  <si>
    <t>CABO DE COBRE FLEXÍVEL ISOLADO, 10 MM², ANTI-CHAMA 0,6/1,0 KV, PARA CIRCUITOS TERMINAIS - FORNECIMENTO E INSTALAÇÃO. AF_12/2015</t>
  </si>
  <si>
    <t>2.158,00</t>
  </si>
  <si>
    <t>91935U</t>
  </si>
  <si>
    <t>CABO DE COBRE FLEXÍVEL ISOLADO, 16 MM², ANTI-CHAMA 0,6/1,0 KV, PARA CIRCUITOS TERMINAIS - FORNECIMENTO E INSTALAÇÃO. AF_12/2015</t>
  </si>
  <si>
    <t>92984U</t>
  </si>
  <si>
    <t>CABO DE COBRE FLEXÍVEL ISOLADO, 25 MM², ANTI-CHAMA 0,6/1,0 KV, PARA DISTRIBUIÇÃO - FORNECIMENTO E INSTALAÇÃO. AF_12/2015</t>
  </si>
  <si>
    <t>917,00</t>
  </si>
  <si>
    <t>92986U</t>
  </si>
  <si>
    <t>CABO DE COBRE FLEXÍVEL ISOLADO, 35 MM², ANTI-CHAMA 0,6/1,0 KV, PARA DISTRIBUIÇÃO - FORNECIMENTO E INSTALAÇÃO. AF_12/2015</t>
  </si>
  <si>
    <t>06.01.306</t>
  </si>
  <si>
    <t>CAIXA DE PASSAGEM 30X30X40 COM TAMPA E DRENO BRITA</t>
  </si>
  <si>
    <t>92867U</t>
  </si>
  <si>
    <t>CAIXA RETANGULAR 4" X 2" ALTA (2,00 M DO PISO), METÁLICA, INSTALADA EM PAREDE - FORNECIMENTO E INSTALAÇÃO. AF_12/2015</t>
  </si>
  <si>
    <t>92868U</t>
  </si>
  <si>
    <t>CAIXA RETANGULAR 4" X 2" MÉDIA (1,30 M DO PISO), METÁLICA, INSTALADA EM PAREDE - FORNECIMENTO E INSTALAÇÃO. AF_12/2015</t>
  </si>
  <si>
    <t>396,00</t>
  </si>
  <si>
    <t>92869U</t>
  </si>
  <si>
    <t>CAIXA RETANGULAR 4" X 2" BAIXA (0,30 M DO PISO), METÁLICA, INSTALADA EM PAREDE - FORNECIMENTO E INSTALAÇÃO. AF_12/2015</t>
  </si>
  <si>
    <t>142,00</t>
  </si>
  <si>
    <t>92870U</t>
  </si>
  <si>
    <t>CAIXA RETANGULAR 4" X 4" ALTA (2,00 M DO PISO), METÁLICA, INSTALADA EM PAREDE - FORNECIMENTO E INSTALAÇÃO. AF_12/2015</t>
  </si>
  <si>
    <t>86,00</t>
  </si>
  <si>
    <t>92871U</t>
  </si>
  <si>
    <t>CAIXA RETANGULAR 4" X 4" MÉDIA (1,30 M DO PISO), METÁLICA, INSTALADA EM PAREDE - FORNECIMENTO E INSTALAÇÃO. AF_12/2015</t>
  </si>
  <si>
    <t>06.01.309</t>
  </si>
  <si>
    <t>Leitos (eletrocalhas e perfilados)</t>
  </si>
  <si>
    <t>Eletrocalha lisa em chapa de aço galvanizado # 22, tipo "U" com tampa largura 75 mm x altura 50 mm, instalação superior com bucha, inclusive conexões</t>
  </si>
  <si>
    <t>Eletrocalha lisa em chapa de aço galvanizado # 22, tipo "U" com tampa largura 50 mm x altura 50 mm, instalação superior com bucha, inclusive conexões</t>
  </si>
  <si>
    <t>Eletrocalha perfurada em chapa de aço galvanizado # 22, tipo "U" com tampa largura 100 mm x altura 50 mm, instalação superior com bucha, inclusive conexões</t>
  </si>
  <si>
    <t>Eletrocalha lisa em chapa de aço galvanizado # 22, tipo "U", com tampa largura 150 mm x altura 50 mm, instalação superior</t>
  </si>
  <si>
    <t>90460U</t>
  </si>
  <si>
    <t>1.798,00</t>
  </si>
  <si>
    <t>772,00</t>
  </si>
  <si>
    <t>96562U</t>
  </si>
  <si>
    <t>PERFILADO DE SEÇÃO 38X76 MM PARA SUPORTE DE ELETROCALHA LISA OU PERFURADA EM AÇO GALVANIZADO, LARGURA 200 OU 400 MM E ALTURA 50 MM. AF_07/2017</t>
  </si>
  <si>
    <t>253,00</t>
  </si>
  <si>
    <t>06.01.400</t>
  </si>
  <si>
    <t>Iluminação e Tomadas</t>
  </si>
  <si>
    <t>06.01.401</t>
  </si>
  <si>
    <t>Luminárias</t>
  </si>
  <si>
    <t>29,00</t>
  </si>
  <si>
    <t>Luminária de sobrepor retangular, alto alumínio com pintura branca fosca, 1,20m com lâmpada 36w</t>
  </si>
  <si>
    <t>Luminária de embutir cilindrica d=210mm, alumínio com pintura branca fosca, com lâmpada 20w</t>
  </si>
  <si>
    <t>Spot de alumínio com pintura branca, d=150mm, com lâmpada 63w</t>
  </si>
  <si>
    <t>97590U</t>
  </si>
  <si>
    <t>LUMINÁRIA TIPO PLAFON REDONDO COM VIDRO FOSCO, DE SOBREPOR, COM 1 LÂMPADA DE 15 W - FORNECIMENTO E INSTALAÇÃO. AF_11/2017</t>
  </si>
  <si>
    <t>97599U</t>
  </si>
  <si>
    <t>LUMINÁRIA DE EMERGÊNCIA - FORNECIMENTO E INSTALAÇÃO. AF_11/2017</t>
  </si>
  <si>
    <t>135,00</t>
  </si>
  <si>
    <t>06.01.403</t>
  </si>
  <si>
    <t>Interruptores</t>
  </si>
  <si>
    <t>91953U</t>
  </si>
  <si>
    <t>INTERRUPTOR SIMPLES (1 MÓDULO), 10A/250V, INCLUINDO SUPORTE E PLACA - FORNECIMENTO E INSTALAÇÃO. AF_12/2015</t>
  </si>
  <si>
    <t>65,00</t>
  </si>
  <si>
    <t>91955U</t>
  </si>
  <si>
    <t>INTERRUPTOR PARALELO (1 MÓDULO), 10A/250V, INCLUINDO SUPORTE E PLACA - FORNECIMENTO E INSTALAÇÃO. AF_12/2015</t>
  </si>
  <si>
    <t>91959U</t>
  </si>
  <si>
    <t>INTERRUPTOR SIMPLES (2 MÓDULOS), 10A/250V, INCLUINDO SUPORTE E PLACA - FORNECIMENTO E INSTALAÇÃO. AF_12/2015</t>
  </si>
  <si>
    <t>91967U</t>
  </si>
  <si>
    <t>INTERRUPTOR SIMPLES (3 MÓDULOS), 10A/250V, INCLUINDO SUPORTE E PLACA - FORNECIMENTO E INSTALAÇÃO. AF_12/2015</t>
  </si>
  <si>
    <t>26,00</t>
  </si>
  <si>
    <t>06.01.404</t>
  </si>
  <si>
    <t>Tomadas</t>
  </si>
  <si>
    <t>Tomada embutida no piso com caixa de alumínio 15x15cm</t>
  </si>
  <si>
    <t>91992U</t>
  </si>
  <si>
    <t>TOMADA ALTA DE EMBUTIR (1 MÓDULO), 2P+T 10 A, INCLUINDO SUPORTE E PLACA - FORNECIMENTO E INSTALAÇÃO. AF_12/2015</t>
  </si>
  <si>
    <t>181,00</t>
  </si>
  <si>
    <t>92008U</t>
  </si>
  <si>
    <t>TOMADA BAIXA DE EMBUTIR (2 MÓDULOS), 2P+T 10 A, INCLUINDO SUPORTE E PLACA - FORNECIMENTO E INSTALAÇÃO. AF_12/2015</t>
  </si>
  <si>
    <t>286,00</t>
  </si>
  <si>
    <t>92012U</t>
  </si>
  <si>
    <t>TOMADA MÉDIA DE EMBUTIR (3 MÓDULOS), 2P+T 10 A, INCLUINDO SUPORTE E PLACA - FORNECIMENTO E INSTALAÇÃO. AF_12/2015</t>
  </si>
  <si>
    <t>139,00</t>
  </si>
  <si>
    <t>06.01.500</t>
  </si>
  <si>
    <t>Aterramento e Proteção Contra Descargas Atmosféricas</t>
  </si>
  <si>
    <t>INSTALACAO PARA-RAIOS TIPO FRANKLIN EM MASTRO DE 4M</t>
  </si>
  <si>
    <t>CONECTOR DE PARAFUSO FENDIDO EM LIGA DE COBRE COM SEPARADOR DE CABOS PARA CABO 50 MM2 - FORNECIMENTO E INSTALACAO</t>
  </si>
  <si>
    <t>96974U</t>
  </si>
  <si>
    <t>CORDOALHA DE COBRE NU 50 MM², NÃO ENTERRADA, COM ISOLADOR - FORNECIMENTO E INSTALAÇÃO. AF_12/2017</t>
  </si>
  <si>
    <t>555,00</t>
  </si>
  <si>
    <t>06.02.000</t>
  </si>
  <si>
    <t>Telefonia Antena de TV</t>
  </si>
  <si>
    <t>06.02.100</t>
  </si>
  <si>
    <t>Caixas de Entrada e Central Telefônica</t>
  </si>
  <si>
    <t>Distribuidor geral padrão telebrás dimensões 2,00 x 2,00 x 0,12m</t>
  </si>
  <si>
    <t>CAIXA ENTERRADA PARA INSTALACOES TELEFONICAS TIPO R1 0,60X0,35X0,50M EM BLOCOS DE CONCRETO ESTRUTURAL</t>
  </si>
  <si>
    <t>CAIXA ENTERRADA PARA INSTALACOES TELEFONICAS TIPO R3 1,30X1,20X1,20M EM BLOCOS DE CONCRETO ESTRUTURAL</t>
  </si>
  <si>
    <t>TAMPAO FOFO P/ CAIXA R3 PADRAO TELEBRAS COMPLETO - FORNECIMENTO E INSTALACAO</t>
  </si>
  <si>
    <t>TAMPAO FOFO P/ CAIXA R1 PADRAO TELEBRAS COMPLETO - FORNECIMENTO E INSTALACAO</t>
  </si>
  <si>
    <t>06.02.200</t>
  </si>
  <si>
    <t>Caixas Telefônicas e de Distribuição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</si>
  <si>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</si>
  <si>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</si>
  <si>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06.02.300</t>
  </si>
  <si>
    <t>Eletrodutos e Eletrocalhas</t>
  </si>
  <si>
    <t>Eletrocalha lisa em chapa de aço galvanizado # 22, tipo "U", com tampa largura 100 mm x altura 50 mm, instalação superior</t>
  </si>
  <si>
    <t>Eletrocalha perfurada em chapa de aço galvanizado # 22, tipo "U", com tampa largura 100 mm x altura 75 mm, instalação superior, inclusive conexões</t>
  </si>
  <si>
    <t>477,00</t>
  </si>
  <si>
    <t>91905U</t>
  </si>
  <si>
    <t>CURVA 90 GRAUS PARA ELETRODUTO, PVC, ROSCÁVEL, DN 32 MM (1"), PARA CIRCUITOS TERMINAIS, INSTALADA EM LAJE - FORNECIMENTO E INSTALAÇÃO. AF_12/2015</t>
  </si>
  <si>
    <t>126,00</t>
  </si>
  <si>
    <t>91908U</t>
  </si>
  <si>
    <t>CURVA 90 GRAUS PARA ELETRODUTO, PVC, ROSCÁVEL, DN 40 MM (1 1/4"), PARA CIRCUITOS TERMINAIS, INSTALADA EM LAJE - FORNECIMENTO E INSTALAÇÃO. AF_12/2015</t>
  </si>
  <si>
    <t>82,00</t>
  </si>
  <si>
    <t>93010U</t>
  </si>
  <si>
    <t>ELETRODUTO RÍGIDO ROSCÁVEL, PVC, DN 75 MM (2 1/2") - FORNECIMENTO E INSTALAÇÃO. AF_12/2015</t>
  </si>
  <si>
    <t>94,00</t>
  </si>
  <si>
    <t>93022U</t>
  </si>
  <si>
    <t>CURVA 90 GRAUS PARA ELETRODUTO, PVC, ROSCÁVEL, DN 75 MM (2 1/2") - FORNECIMENTO E INSTALAÇÃO. AF_12/2015</t>
  </si>
  <si>
    <t>94789U</t>
  </si>
  <si>
    <t>ADAPTADOR COM FLANGES LIVRES, PVC, SOLDÁVEL LONGO, DN 75 MM X 2 1/2 , INSTALADO EM RESERVAÇÃO DE ÁGUA DE EDIFICAÇÃO QUE POSSUA RESERVATÓRIO DE FIBRA/FIBROCIMENTO FORNECIMENTO E INSTALAÇÃO. AF_06/2016</t>
  </si>
  <si>
    <t>06.02.400</t>
  </si>
  <si>
    <t>Cabo telefônico CTP-APL Ø do condutor 0,50 mm, com 100 pares</t>
  </si>
  <si>
    <t>116,00</t>
  </si>
  <si>
    <t>107,00</t>
  </si>
  <si>
    <t>98278U</t>
  </si>
  <si>
    <t>CABO TELEFÔNICO CI-50 30 PARES INSTALADO EM PRUMADA - FORNECIMENTO E INSTALAÇÃO. AF_03/2018</t>
  </si>
  <si>
    <t>138,00</t>
  </si>
  <si>
    <t>98297U</t>
  </si>
  <si>
    <t>CABO ELETRÔNICO CATEGORIA 6, INSTALADO EM EDIFICAÇÃO INSTITUCIONAL - FORNECIMENTO E INSTALAÇÃO. AF_03/2018</t>
  </si>
  <si>
    <t>2.224,00</t>
  </si>
  <si>
    <t>06.03.000</t>
  </si>
  <si>
    <t>Detecção e Alarme de Incêndio</t>
  </si>
  <si>
    <t>06.03.100</t>
  </si>
  <si>
    <t>Painéis de Supervisão</t>
  </si>
  <si>
    <t>Central de alarme de incêndio para 24 pontos</t>
  </si>
  <si>
    <t>06.03.200</t>
  </si>
  <si>
    <t>Equipamentos de Detecção</t>
  </si>
  <si>
    <t>10446/ORSE</t>
  </si>
  <si>
    <t>Avisador sonoro tipo sirene para incêndio</t>
  </si>
  <si>
    <t>12016/ORSE</t>
  </si>
  <si>
    <t>Acionador manual endereçavel</t>
  </si>
  <si>
    <t>12017/ORSE</t>
  </si>
  <si>
    <t>Detector de temperatura termovelocímetrico endereçável</t>
  </si>
  <si>
    <t>12018/ORSE</t>
  </si>
  <si>
    <t>Detector de fumaça óptico endereçável</t>
  </si>
  <si>
    <t>06.03.300</t>
  </si>
  <si>
    <t>75,00</t>
  </si>
  <si>
    <t>95749U</t>
  </si>
  <si>
    <t>ELETRODUTO DE AÇO GALVANIZADO, CLASSE LEVE, DN 20 MM (3/4??), APARENTE, INSTALADO EM PAREDE - FORNECIMENTO E INSTALAÇÃO. AF_11/2016_P</t>
  </si>
  <si>
    <t>954,00</t>
  </si>
  <si>
    <t>95750U</t>
  </si>
  <si>
    <t>ELETRODUTO DE AÇO GALVANIZADO, CLASSE LEVE, DN 25 MM (1??), APARENTE, INSTALADO EM PAREDE - FORNECIMENTO E INSTALAÇÃO. AF_11/2016_P</t>
  </si>
  <si>
    <t>405,00</t>
  </si>
  <si>
    <t>95751U</t>
  </si>
  <si>
    <t>ELETRODUTO DE AÇO GALVANIZADO, CLASSE SEMI PESADO, DN 32 MM (1 1/4??), APARENTE, INSTALADO EM PAREDE - FORNECIMENTO E INSTALAÇÃO. AF_11/2016_P</t>
  </si>
  <si>
    <t>74,00</t>
  </si>
  <si>
    <t>95795U</t>
  </si>
  <si>
    <t>CONDULETE DE ALUMÍNIO, TIPO T, PARA ELETRODUTO DE AÇO GALVANIZADO DN 20 MM (3/4), APARENTE - FORNECIMENTO E INSTALAÇÃO. AF_11/2016_P</t>
  </si>
  <si>
    <t>140,00</t>
  </si>
  <si>
    <t>95796U</t>
  </si>
  <si>
    <t>CONDULETE DE ALUMÍNIO, TIPO T, PARA ELETRODUTO DE AÇO GALVANIZADO DN 25 MM (1), APARENTE - FORNECIMENTO E INSTALAÇÃO. AF_11/2016_P</t>
  </si>
  <si>
    <t>95797U</t>
  </si>
  <si>
    <t>CONDULETE DE ALUMÍNIO, TIPO T, PARA ELETRODUTO DE AÇO GALVANIZADO DN 32 MM (1 1/4), APARENTE - FORNECIMENTO E INSTALAÇÃO. AF_11/2016_P</t>
  </si>
  <si>
    <t>06.03.400</t>
  </si>
  <si>
    <t>Fio de cobre trançado 2x1,0mm2</t>
  </si>
  <si>
    <t>564,00</t>
  </si>
  <si>
    <t>Fio de cobre trançado 2x1,5mm2</t>
  </si>
  <si>
    <t>920,00</t>
  </si>
  <si>
    <t>06.03.600</t>
  </si>
  <si>
    <t>Sinalização de Emergência</t>
  </si>
  <si>
    <t>Luminária fluorescente completa para emergência de 15 W</t>
  </si>
  <si>
    <t>Placa de sinalizacao de seguranca contra incendio, fotoluminescente, quadrada, *20 x 20* cm, em pvc *2* mm anti-chamas (simbolos, cores e pictogramas conforme nbr 13434)</t>
  </si>
  <si>
    <t>Placa de sinalizacao de seguranca contra incendio, fotoluminescente, retangular, *26,8 x 26,8* cm, em pvc *2* mm anti-chamas (simbolos, cores e pictogramas conforme nbr 13434)</t>
  </si>
  <si>
    <t>Placa de sinalizacao de seguranca contra incendio, fotoluminescente, retangular, *38 x 19* cm, em pvc *2* mm anti-chamas (simbolos, cores e pictogramas conforme nbr 13434)</t>
  </si>
  <si>
    <t>134,00</t>
  </si>
  <si>
    <t>Placa de sinalizacao de seguranca contra incendio, fotoluminescente, retangular, *50 x 25* cm, em pvc *2* mm anti-chamas (simbolos, cores e pictogramas conforme nbr 13434)</t>
  </si>
  <si>
    <t>07.00.000</t>
  </si>
  <si>
    <t>INSTALAÇÕES MECÂNICAS E DE UTILIDADES</t>
  </si>
  <si>
    <t>07.07.000</t>
  </si>
  <si>
    <t>Gás Combustível</t>
  </si>
  <si>
    <t>Central de gás combustível com 6 cilindros B45</t>
  </si>
  <si>
    <t>Tubulação de gás combustível DN=1¨ envelopada em concreto</t>
  </si>
  <si>
    <t>08.00.000</t>
  </si>
  <si>
    <t>INSTALAÇÕES DE PREVENÇÃO E COMBATE A INCÊNDIO</t>
  </si>
  <si>
    <t>08.01.000</t>
  </si>
  <si>
    <t>Prevenção e Combate a Incêndio</t>
  </si>
  <si>
    <t>08.01.200</t>
  </si>
  <si>
    <t>Tubulações de Aço Carbono</t>
  </si>
  <si>
    <t>Tubo de aço galvanizado com costura inclusive conexões Ø 100 mm - 4"</t>
  </si>
  <si>
    <t>Tubo de aço galvanizado com costura inclusive conexões Ø 150 mm - 6"</t>
  </si>
  <si>
    <t>Tê 45° de ferro galvanizado Ø 100 mm - 4"</t>
  </si>
  <si>
    <t>96,00</t>
  </si>
  <si>
    <t>Tê 90° de ferro galvanizado Ø 150 mm - 6"</t>
  </si>
  <si>
    <t>COTOVELO DE AÇO GALVANIZADO 4" - FORNECIMENTO E INSTALAÇÃO</t>
  </si>
  <si>
    <t>COTOVELO DE AÇO GALVANIZADO 6" - FORNECIMENTO E INSTALAÇÃO</t>
  </si>
  <si>
    <t>321,00</t>
  </si>
  <si>
    <t>92382U</t>
  </si>
  <si>
    <t>JOELHO 90 GRAUS, EM FERRO GALVANIZADO, DN 25 (1"), CONEXÃO ROSQUEADA, INSTALADO EM REDE DE ALIMENTAÇÃO PARA HIDRANTE - FORNECIMENTO E INSTALAÇÃO. AF_12/2015</t>
  </si>
  <si>
    <t>596,00</t>
  </si>
  <si>
    <t>TUBO DE AÇO GALVANIZADO COM COSTURA, CLASSE MÉDIA, CONEXÃO ROSQUEADA, DN 25 (1"), INSTALADO EM REDE DE ALIMENTAÇÃO PARA SPRINKLER - FORNECIMENTO E INSTALAÇÃO. AF_12/2015</t>
  </si>
  <si>
    <t>1.150,00</t>
  </si>
  <si>
    <t>92652U</t>
  </si>
  <si>
    <t>TUBO DE AÇO GALVANIZADO COM COSTURA, CLASSE MÉDIA, CONEXÃO ROSQUEADA, DN 32 (1 1/4"), INSTALADO EM REDE DE ALIMENTAÇÃO PARA SPRINKLER - FORNECIMENTO E INSTALAÇÃO. AF_12/2015</t>
  </si>
  <si>
    <t>92653U</t>
  </si>
  <si>
    <t>TUBO DE AÇO GALVANIZADO COM COSTURA, CLASSE MÉDIA, CONEXÃO ROSQUEADA, DN 40 (1 1/2"), INSTALADO EM REDE DE ALIMENTAÇÃO PARA SPRINKLER - FORNECIMENTO E INSTALAÇÃO. AF_12/2015</t>
  </si>
  <si>
    <t>92654U</t>
  </si>
  <si>
    <t>TUBO DE AÇO GALVANIZADO COM COSTURA, CLASSE MÉDIA, CONEXÃO ROSQUEADA, DN 50 (2"), INSTALADO EM REDE DE ALIMENTAÇÃO PARA SPRINKLER - FORNECIMENTO E INSTALAÇÃO. AF_12/2015</t>
  </si>
  <si>
    <t>173,00</t>
  </si>
  <si>
    <t>92655U</t>
  </si>
  <si>
    <t>TUBO DE AÇO GALVANIZADO COM COSTURA, CLASSE MÉDIA, CONEXÃO ROSQUEADA, DN 65 (2 1/2"), INSTALADO EM REDE DE ALIMENTAÇÃO PARA SPRINKLER - FORNECIMENTO E INSTALAÇÃO. AF_12/2015</t>
  </si>
  <si>
    <t>240,00</t>
  </si>
  <si>
    <t>92656U</t>
  </si>
  <si>
    <t>TUBO DE AÇO GALVANIZADO COM COSTURA, CLASSE MÉDIA, CONEXÃO ROSQUEADA, DN 80 (3"), INSTALADO EM REDE DE ALIMENTAÇÃO PARA SPRINKLER - FORNECIMENTO E INSTALAÇÃO. AF_12/2015</t>
  </si>
  <si>
    <t>58,00</t>
  </si>
  <si>
    <t>92681U</t>
  </si>
  <si>
    <t>TÊ, EM FERRO GALVANIZADO, CONEXÃO ROSQUEADA, DN 25 (1"), INSTALADO EM REDE DE ALIMENTAÇÃO PARA SPRINKLER - FORNECIMENTO E INSTALAÇÃO. AF_12/2015</t>
  </si>
  <si>
    <t>171,00</t>
  </si>
  <si>
    <t>92685U</t>
  </si>
  <si>
    <t>TÊ, EM FERRO GALVANIZADO, CONEXÃO ROSQUEADA, DN 65 (2 1/2"), INSTALADO EM REDE DE ALIMENTAÇÃO PARA SPRINKLER - FORNECIMENTO E INSTALAÇÃO. AF_12/2015</t>
  </si>
  <si>
    <t>94473U</t>
  </si>
  <si>
    <t>COTOVELO 90 GRAUS, EM FERRO GALVANIZADO, CONEXÃO ROSQUEADA, DN 65 (2 1/2?), INSTALADO EM RESERVAÇÃO DE ÁGUA DE EDIFICAÇÃO QUE POSSUA RESERVATÓRIO DE FIBRA/FIBROCIMENTO ? FORNECIMENTO E INSTALAÇÃO. AF_06/2016</t>
  </si>
  <si>
    <t>40,00</t>
  </si>
  <si>
    <t>08.01.500</t>
  </si>
  <si>
    <t>08.01.510</t>
  </si>
  <si>
    <t>Válvulas de retenção</t>
  </si>
  <si>
    <t>Válvula de retenção horizontal ou vertical Ø 100 mm - 4"</t>
  </si>
  <si>
    <t>Válvula de retenção vertical Ø 150 mm - 6"</t>
  </si>
  <si>
    <t>08.01.511</t>
  </si>
  <si>
    <t>Hidrantes de passeio</t>
  </si>
  <si>
    <t>HIDRANTE SUBTERRANEO FERRO FUNDIDO C/ CURVA LONGA E CAIXA DN=75MM</t>
  </si>
  <si>
    <t>08.01.516</t>
  </si>
  <si>
    <t>Abrigo para mangueira</t>
  </si>
  <si>
    <t>96765U</t>
  </si>
  <si>
    <t>ABRIGO PARA HIDRANTE, 90X60X17CM, COM REGISTRO GLOBO ANGULAR 45 GRAUS 2 1/2", ADAPTADOR STORZ 2 1/2", MANGUEIRA DE INCÊNDIO 20M, REDUÇÃO 2 1/2 X 1 1/2" E ESGUICHO EM LATÃO 1 1/2" - FORNECIMENTO E INSTALAÇÃO. AF_08/2017</t>
  </si>
  <si>
    <t>08.01.517</t>
  </si>
  <si>
    <t>Extintores</t>
  </si>
  <si>
    <t>EXTINTOR INCENDIO TP PO QUIMICO 6KG - FORNECIMENTO E INSTALACAO</t>
  </si>
  <si>
    <t>08.01.519</t>
  </si>
  <si>
    <t>Bombas e Acessórios</t>
  </si>
  <si>
    <t>Bomba centrífuga trifásica 75 mca, 30 CV</t>
  </si>
  <si>
    <t>Bomba centrífuga, 71,5 mca, 30 CV, motor a diesel</t>
  </si>
  <si>
    <t>Bomba jóckey, 80mca, 3 CV, 1,2m3/h trifásica</t>
  </si>
  <si>
    <t>Pressostato 0 a 10 kgf/cm2</t>
  </si>
  <si>
    <t>Tanque de pressão capacidade 30 lt (p/incendio)</t>
  </si>
  <si>
    <t>Conjunto motor-bomba centrífuga de 7,5 hp</t>
  </si>
  <si>
    <t>MANOMETRO 0 A 200 PSI (0 A 14 KGF/CM2), D = 50MM - FORNECIMENTO E COLOCACAO</t>
  </si>
  <si>
    <t>08.01.600</t>
  </si>
  <si>
    <t>Aspersores</t>
  </si>
  <si>
    <t>95696U</t>
  </si>
  <si>
    <t>SPRINKLER TIPO PENDENTE, 68 °C, UNIÃO POR ROSCA DN 15 (1/2") - FORNECIMENTO E INSTALAÇÃO. AF_12/2015</t>
  </si>
  <si>
    <t>553,00</t>
  </si>
  <si>
    <t>09.00.000</t>
  </si>
  <si>
    <t>SERVIÇOS COMPLEMENTARES</t>
  </si>
  <si>
    <t>Consumos</t>
  </si>
  <si>
    <t>Consumo de Energia Elétrica</t>
  </si>
  <si>
    <t>MÊS</t>
  </si>
  <si>
    <t>Consumo de Água</t>
  </si>
  <si>
    <t>09.02.000</t>
  </si>
  <si>
    <t>Limpeza de Obras</t>
  </si>
  <si>
    <t>Limpeza geral da edificação</t>
  </si>
  <si>
    <t>09.03.000</t>
  </si>
  <si>
    <t>Ligações Definitivas</t>
  </si>
  <si>
    <t>Reprografia</t>
  </si>
  <si>
    <t>09.05.000.1</t>
  </si>
  <si>
    <t>Plotagem de projetos</t>
  </si>
  <si>
    <t>600,00</t>
  </si>
  <si>
    <t>10.00.000</t>
  </si>
  <si>
    <t>SERVIÇOS AUXILIARES E ADMINISTRATIVOS</t>
  </si>
  <si>
    <t>10.01.000</t>
  </si>
  <si>
    <t>Pessoal</t>
  </si>
  <si>
    <t>100309U</t>
  </si>
  <si>
    <t>TÉCNICO EM SEGURAÇA DO TRABALHO COM ENCARGOS COMPLEMENTARES</t>
  </si>
  <si>
    <t>H</t>
  </si>
  <si>
    <t>100316U</t>
  </si>
  <si>
    <t>AUXILIAR DE ALMOXARIFE COM ENCARGOS COMPLEMENTARES</t>
  </si>
  <si>
    <t>88255U</t>
  </si>
  <si>
    <t>AUXILIAR TÉCNICO DE ENGENHARIA COM ENCARGOS COMPLEMENTARES</t>
  </si>
  <si>
    <t>90766U</t>
  </si>
  <si>
    <t>ALMOXARIFE COM ENCARGOS COMPLEMENTARES</t>
  </si>
  <si>
    <t>90767U</t>
  </si>
  <si>
    <t>APONTADOR OU APROPRIADOR COM ENCARGOS COMPLEMENTARES</t>
  </si>
  <si>
    <t>90779U</t>
  </si>
  <si>
    <t>ENGENHEIRO CIVIL DE OBRA SENIOR COM ENCARGOS COMPLEMENTARES</t>
  </si>
  <si>
    <t>90780U</t>
  </si>
  <si>
    <t>MESTRE DE OBRAS COM ENCARGOS COMPLEMENTARES</t>
  </si>
  <si>
    <t>91677U</t>
  </si>
  <si>
    <t>ENGENHEIRO ELETRICISTA COM ENCARGOS COMPLEMENTARES</t>
  </si>
  <si>
    <t>93566U</t>
  </si>
  <si>
    <t>AUXILIAR DE ESCRITORIO COM ENCARGOS COMPLEMENTARES</t>
  </si>
  <si>
    <t>93567U</t>
  </si>
  <si>
    <t>ENGENHEIRO CIVIL DE OBRA PLENO COM ENCARGOS COMPLEMENTARES</t>
  </si>
  <si>
    <t>93572U</t>
  </si>
  <si>
    <t>ENCARREGADO GERAL DE OBRAS COM ENCARGOS COMPLEMENTARES</t>
  </si>
  <si>
    <t>10.04.000</t>
  </si>
  <si>
    <t>Transportes</t>
  </si>
  <si>
    <t>TRANSPORTE COMERCIAL COM CAMINHAO CARROCERIA 9 T, RODOVIA PAVIMENTADA</t>
  </si>
  <si>
    <t>TXKM</t>
  </si>
  <si>
    <t>15.120,00</t>
  </si>
  <si>
    <t xml:space="preserve"> </t>
  </si>
  <si>
    <t>TOTAL DO ITEM 01.00.000</t>
  </si>
  <si>
    <t>TOTAL DO ITEM 02.00.000</t>
  </si>
  <si>
    <t>CUSTO DO ORÇAMENTO</t>
  </si>
  <si>
    <t>%</t>
  </si>
  <si>
    <t>TOTAL GERAL</t>
  </si>
  <si>
    <t>Observações:</t>
  </si>
  <si>
    <r>
      <t xml:space="preserve">1. Planilha de acordo com o Manual de Obras Públicas-Edificações, Práticas da </t>
    </r>
    <r>
      <rPr>
        <b/>
        <sz val="10"/>
        <color indexed="8"/>
        <rFont val="Arial"/>
        <family val="2"/>
      </rPr>
      <t>SEAP</t>
    </r>
  </si>
  <si>
    <t xml:space="preserve">ESTRUTURA METALICA EM ACO ESTRUTURAL </t>
  </si>
  <si>
    <t>TOTAL DO ITEM 03.01.400</t>
  </si>
  <si>
    <t>TOTAL DO ITEM 03.01.500</t>
  </si>
  <si>
    <t>TOTAL DO ITEM 03.02.000</t>
  </si>
  <si>
    <t>TOTAL DO ITEM 03.03.000</t>
  </si>
  <si>
    <t>TOTAL DO ITEM 04.01.100</t>
  </si>
  <si>
    <t>TOTAL DO ITEM 04.01.200</t>
  </si>
  <si>
    <t>TOTAL DO ITEM 04.01.240</t>
  </si>
  <si>
    <t>TOTAL DO ITEM 04.01.300</t>
  </si>
  <si>
    <t>TOTAL DO ITEM 04.01.400</t>
  </si>
  <si>
    <t>TOTAL DO ITEM 04.01.500</t>
  </si>
  <si>
    <t>TOTAL DO ITEM 04.01.530</t>
  </si>
  <si>
    <t>TOTAL DO ITEM 04.01.550</t>
  </si>
  <si>
    <t>TOTAL DO ITEM 04.01.560</t>
  </si>
  <si>
    <t>TOTAL DO ITEM 04.01.580</t>
  </si>
  <si>
    <t>TOTAL DO ITEM 04.01.600</t>
  </si>
  <si>
    <t>TOTAL DO ITEM 04.01.700</t>
  </si>
  <si>
    <t>TOTAL DO ITEM 04.01.800</t>
  </si>
  <si>
    <t>TOTAL DO ITEM 04.02.000</t>
  </si>
  <si>
    <t>TOTAL DO ITEM 04.04.000</t>
  </si>
  <si>
    <t>TOTAL DO ITEM 04.05.000</t>
  </si>
  <si>
    <t>TOTAL DO ITEM 04.06.000</t>
  </si>
  <si>
    <t>TOTAL DO ITEM 05.01.000</t>
  </si>
  <si>
    <t>TOTAL DO ITEM 05.01.500</t>
  </si>
  <si>
    <t>TOTAL DO ITEM 05.03.000</t>
  </si>
  <si>
    <t>TOTAL DO ITEM 05.04.000</t>
  </si>
  <si>
    <t>TOTAL DO ITEM 06.01.000</t>
  </si>
  <si>
    <t>TOTAL DO ITEM 06.01.400</t>
  </si>
  <si>
    <t>TOTAL DO ITEM 06.01.500</t>
  </si>
  <si>
    <t>TOTAL DO ITEM 06.02.000</t>
  </si>
  <si>
    <t>TOTAL DO ITEM 06.03.000</t>
  </si>
  <si>
    <t>TOTAL DO ITEM 07.07.000</t>
  </si>
  <si>
    <t>TOTAL DO ITEM 08.00.000</t>
  </si>
  <si>
    <t>TOTAL DO ITEM 09.00.000</t>
  </si>
  <si>
    <t>Item</t>
  </si>
  <si>
    <t>Discriminação</t>
  </si>
  <si>
    <t>ISS</t>
  </si>
  <si>
    <t>PIS</t>
  </si>
  <si>
    <t>Cofins</t>
  </si>
  <si>
    <t>Fonte:</t>
  </si>
  <si>
    <t>Acórdãos n° 2622/2013 - TCU - PLENÁRIO</t>
  </si>
  <si>
    <t xml:space="preserve"> ITEM </t>
  </si>
  <si>
    <t xml:space="preserve"> DESCRIÇÃO DOS SERVIÇOS</t>
  </si>
  <si>
    <t xml:space="preserve"> </t>
    <phoneticPr fontId="0" type="noConversion"/>
  </si>
  <si>
    <t>Blocos e Cintas de Fundações</t>
  </si>
  <si>
    <t>03.02.000</t>
    <phoneticPr fontId="0" type="noConversion"/>
  </si>
  <si>
    <t>Estruturas de concreto</t>
  </si>
  <si>
    <t>Revestimentos de Forros</t>
  </si>
  <si>
    <t>Pinturas</t>
  </si>
  <si>
    <t>Mantas Termo-acústicas</t>
  </si>
  <si>
    <t>Acabamentos e arremates</t>
  </si>
  <si>
    <t>Equipamentos e acessórios</t>
  </si>
  <si>
    <t>Comunicação visual</t>
  </si>
  <si>
    <t>Aparelhos e acessórios sanitários</t>
  </si>
  <si>
    <t>CUSTO DIRETO TOTAL</t>
  </si>
  <si>
    <t xml:space="preserve">TOTAL DO ORÇAMENTO </t>
  </si>
  <si>
    <r>
      <t xml:space="preserve">1. Planilha de acordo com o Manual de Obras Públicas-Edificações, Práticas da </t>
    </r>
    <r>
      <rPr>
        <b/>
        <sz val="9"/>
        <color indexed="8"/>
        <rFont val="Arial"/>
        <family val="2"/>
      </rPr>
      <t>SEAP</t>
    </r>
  </si>
  <si>
    <t>MESES</t>
  </si>
  <si>
    <t>-</t>
  </si>
  <si>
    <t>87267U</t>
  </si>
  <si>
    <t xml:space="preserve">REVESTIMENTO CERÂMICO PARA PAREDES INTERNAS COM PLACAS TIPO ESMALTADA EXTRA DE DIMENSÕES 20X20 CM </t>
  </si>
  <si>
    <t>94213U</t>
  </si>
  <si>
    <t>TELHAMENTO COM TELHA DE AÇO/ALUMÍNIO E = 0,5 MM, COM ATÉ 2 ÁGUAS, INCLUSO IÇAMENTO. AF_07/2019</t>
  </si>
  <si>
    <t>FUNDO PREPARADOR PRIMER SINTÉTICO PARA ESTRUTURA METÁLICA, ESPESSURA 25 MICRA</t>
  </si>
  <si>
    <t>COEF.</t>
  </si>
  <si>
    <t>Ajudante</t>
  </si>
  <si>
    <t>M.O.</t>
  </si>
  <si>
    <t>Topógrafo</t>
  </si>
  <si>
    <t>Auxiliar de topógrafo</t>
  </si>
  <si>
    <t>PREÇO TOTAL (unit.):</t>
  </si>
  <si>
    <t>0,530000000</t>
  </si>
  <si>
    <t>95241U</t>
  </si>
  <si>
    <t>0,006000000</t>
  </si>
  <si>
    <t>0,026900000</t>
  </si>
  <si>
    <t>88262U</t>
  </si>
  <si>
    <t>CARPINTEIRO DE FORMAS COM ENCARGOS COMPLEMENTARES</t>
  </si>
  <si>
    <t>0,026200000</t>
  </si>
  <si>
    <t>0,040000000</t>
  </si>
  <si>
    <t>0,010000000</t>
  </si>
  <si>
    <t>0,104400000</t>
  </si>
  <si>
    <t>Ajudante de encanador</t>
  </si>
  <si>
    <t>Carpinteiro</t>
  </si>
  <si>
    <t>Encanador</t>
  </si>
  <si>
    <t>Pedreiro</t>
  </si>
  <si>
    <t>Servente</t>
  </si>
  <si>
    <t>Argamassa pré-fabricada de cimento colante para assentamento de peças cerâmicas</t>
  </si>
  <si>
    <t>Pontalete de cedro 3a 7,5 x 7,5 cm</t>
  </si>
  <si>
    <t>Tábua de cedrinho 2,3 x 30 cm</t>
  </si>
  <si>
    <t>Reservatório para água em polietileno, 1.000 litros com tampa</t>
  </si>
  <si>
    <t>Tubo PVC soldável Ø 25 mm</t>
  </si>
  <si>
    <t>Adesivo para PVC</t>
  </si>
  <si>
    <t>0,050000000</t>
  </si>
  <si>
    <t>Fita de vedação para tubos e conexões roscáveis, rolo de 50 m x 18 mm</t>
  </si>
  <si>
    <t>Tubo PVC PBV para esgoto Ø 100 mm</t>
  </si>
  <si>
    <t>Ajudante de eletricista</t>
  </si>
  <si>
    <t>Eletricista</t>
  </si>
  <si>
    <t>Fio rígido 6 mm² isolamento em PVC, 750 V</t>
  </si>
  <si>
    <t>16.015.000014.MAT</t>
  </si>
  <si>
    <t>Caixa de entrada de energia modelo K padrão ELETROPAULO em chapa de aço para 2 medidores 50 x 60 x 27 cm</t>
  </si>
  <si>
    <t>09.004.000002.MAT</t>
  </si>
  <si>
    <t>Asfalto para vedação de encanamentos</t>
  </si>
  <si>
    <t>Anel de borracha para tubo PVC esgoto Ø 150 mm</t>
  </si>
  <si>
    <t>Pasta lubrificante para tubo PVC</t>
  </si>
  <si>
    <t>0,043200000</t>
  </si>
  <si>
    <t>Tubo PVC PBV para esgoto Ø 150 mm</t>
  </si>
  <si>
    <t>Estopa branca de primeira qualidade</t>
  </si>
  <si>
    <t>0,950000000</t>
  </si>
  <si>
    <t>Compactador de percussão tipo sapo, gasolina 4 hp - 3 kW, 1.400 kgf, peso 73 kg</t>
  </si>
  <si>
    <t>SER.CH</t>
  </si>
  <si>
    <t>H PROD</t>
  </si>
  <si>
    <t>0,250000000</t>
  </si>
  <si>
    <t>Retroescavadeira sobre pneus 75 hp - 56 kW, caçamba dianteira, 0,76 m³, retro, 0,22 m³, profundidade de escavação de 4,3 m</t>
  </si>
  <si>
    <t>0,080000000</t>
  </si>
  <si>
    <t>0,060000000</t>
  </si>
  <si>
    <t>33.161.000010.EQH</t>
  </si>
  <si>
    <t>Caminhão carroceria de madeira, 4,5 m, 4 t 154 hp - 115 kW, 4 x 2</t>
  </si>
  <si>
    <t>0,100000000</t>
  </si>
  <si>
    <t>0,500000000</t>
  </si>
  <si>
    <t>14.001.000877.MAT</t>
  </si>
  <si>
    <t>Tubo de polietileno de alta densidade PE100 Ø externo 63 mm, classe de pressão 10 kgf/cm²</t>
  </si>
  <si>
    <t>32.105.000120.SER</t>
  </si>
  <si>
    <t>Cavalete com tubo de aço galvanizado 20 mm - 3/4"</t>
  </si>
  <si>
    <t>0,110000000</t>
  </si>
  <si>
    <t>88316U</t>
  </si>
  <si>
    <t>SERVENTE COM ENCARGOS COMPLEMENTARES</t>
  </si>
  <si>
    <t>94962U</t>
  </si>
  <si>
    <t>CONCRETO MAGRO PARA LASTRO, TRAÇO 1:4,5:4,5 (CIMENTO/ AREIA MÉDIA/ BRITA 1) - PREPARO MECÂNICO COM BETONEIRA 400 L. AF_07/2016</t>
  </si>
  <si>
    <t>88239U</t>
  </si>
  <si>
    <t>AJUDANTE DE CARPINTEIRO COM ENCARGOS COMPLEMENTARES</t>
  </si>
  <si>
    <t>CHP</t>
  </si>
  <si>
    <t>CHI</t>
  </si>
  <si>
    <t>L</t>
  </si>
  <si>
    <t>5932U</t>
  </si>
  <si>
    <t>MOTONIVELADORA POTÊNCIA BÁSICA LÍQUIDA (PRIMEIRA MARCHA) 125 HP, PESO BRUTO 13032 KG, LARGURA DA LÂMINA DE 3,7 M - CHP DIURNO. AF_06/2014</t>
  </si>
  <si>
    <t>0,003000000</t>
  </si>
  <si>
    <t>5847U</t>
  </si>
  <si>
    <t>TRATOR DE ESTEIRAS, POTÊNCIA 170 HP, PESO OPERACIONAL 19 T, CAÇAMBA 5,2 M3 - CHP DIURNO. AF_06/2014</t>
  </si>
  <si>
    <t>0,030400000</t>
  </si>
  <si>
    <t>0,022000000</t>
  </si>
  <si>
    <t>01.002.000116.SET</t>
  </si>
  <si>
    <t>SER.MO</t>
  </si>
  <si>
    <t>5811U</t>
  </si>
  <si>
    <t>CAMINHÃO BASCULANTE 6 M3, PESO BRUTO TOTAL 16.000 KG, CARGA ÚTIL MÁXIMA 13.071 KG, DISTÂNCIA ENTRE EIXOS 4,80 M, POTÊNCIA 230 CV INCLUSIVE CAÇAMBA METÁLICA - CHP DIURNO. AF_06/2014</t>
  </si>
  <si>
    <t>5940U</t>
  </si>
  <si>
    <t>PÁ CARREGADEIRA SOBRE RODAS, POTÊNCIA LÍQUIDA 128 HP, CAPACIDADE DA CAÇAMBA 1,7 A 2,8 M3, PESO OPERACIONAL 11632 KG - CHP DIURNO. AF_06/2014</t>
  </si>
  <si>
    <t>0,008000000</t>
  </si>
  <si>
    <t>CONCRETO USINADO BOMBEAVEL, CLASSE DE RESISTENCIA C20, COM BRITA 0, SLUMP = 220 +/- 20 MM, INCLUI SERVICO DE BOMBEAMENTO (NBR 8953)</t>
  </si>
  <si>
    <t>0,088300000</t>
  </si>
  <si>
    <t>0,127800000</t>
  </si>
  <si>
    <t>90674U</t>
  </si>
  <si>
    <t>PERFURATRIZ COM TORRE METÁLICA PARA EXECUÇÃO DE ESTACA HÉLICE CONTÍNUA, PROFUNDIDADE MÁXIMA DE 30 M, DIÂMETRO MÁXIMO DE 800 MM, POTÊNCIA INSTALADA DE 268 HP, MESA ROTATIVA COM TORQUE MÁXIMO DE 170 KNM - CHP DIURNO. AF_06/2015</t>
  </si>
  <si>
    <t>0,021100000</t>
  </si>
  <si>
    <t>90675U</t>
  </si>
  <si>
    <t>PERFURATRIZ COM TORRE METÁLICA PARA EXECUÇÃO DE ESTACA HÉLICE CONTÍNUA, PROFUNDIDADE MÁXIMA DE 30 M, DIÂMETRO MÁXIMO DE 800 MM, POTÊNCIA INSTALADA DE 268 HP, MESA ROTATIVA COM TORQUE MÁXIMO DE 170 KNM - CHI DIURNO. AF_06/2015</t>
  </si>
  <si>
    <t>0,021500000</t>
  </si>
  <si>
    <t>95967U</t>
  </si>
  <si>
    <t>SERVIÇOS TÉCNICOS ESPECIALIZADOS PARA ACOMPANHAMENTO DE EXECUÇÃO DE FUNDAÇÕES PROFUNDAS E ESTRUTURAS DE CONTENÇÃO</t>
  </si>
  <si>
    <t>0,042600000</t>
  </si>
  <si>
    <t>97913U</t>
  </si>
  <si>
    <t>TRANSPORTE COM CAMINHÃO BASCULANTE DE 6 M3, EM VIA URBANA EM REVESTIMENTO PRIMÁRIO (UNIDADE: M3XKM). AF_01/2018</t>
  </si>
  <si>
    <t>0,026500000</t>
  </si>
  <si>
    <t>0,163300000</t>
  </si>
  <si>
    <t>0,126000000</t>
  </si>
  <si>
    <t>0,021900000</t>
  </si>
  <si>
    <t>0,048100000</t>
  </si>
  <si>
    <t>0,073600000</t>
  </si>
  <si>
    <t>0,267400000</t>
  </si>
  <si>
    <t>0,245300000</t>
  </si>
  <si>
    <t>0,144300000</t>
  </si>
  <si>
    <t>0,020000000</t>
  </si>
  <si>
    <t>88245U</t>
  </si>
  <si>
    <t>ARMADOR COM ENCARGOS COMPLEMENTARES</t>
  </si>
  <si>
    <t>0,070000000</t>
  </si>
  <si>
    <t>0,044000000</t>
  </si>
  <si>
    <t>0,300000000</t>
  </si>
  <si>
    <t>88309U</t>
  </si>
  <si>
    <t>PEDREIRO COM ENCARGOS COMPLEMENTARES</t>
  </si>
  <si>
    <t>PEDRA BRITADA N. 3 (38 A 50 MM) POSTO PEDREIRA/FORNECEDOR, SEM FRETE</t>
  </si>
  <si>
    <t>0,030000000</t>
  </si>
  <si>
    <t>CHAPA DE MADEIRA COMPENSADA RESINADA PARA FORMA DE CONCRETO, DE *2,2 X 1,1* M, E = 17 MM</t>
  </si>
  <si>
    <t>0,600000000</t>
  </si>
  <si>
    <t>0,023000000</t>
  </si>
  <si>
    <t>0,004000000</t>
  </si>
  <si>
    <t>0,036500000</t>
  </si>
  <si>
    <t>CONCRETO USINADO BOMBEAVEL, CLASSE DE RESISTENCIA C25, COM BRITA 0 E 1, SLUMP = 100 +/- 20 MM, INCLUI SERVICO DE BOMBEAMENTO (NBR 8953)</t>
  </si>
  <si>
    <t>0,363000000</t>
  </si>
  <si>
    <t>0,544000000</t>
  </si>
  <si>
    <t>90586U</t>
  </si>
  <si>
    <t>VIBRADOR DE IMERSÃO, DIÂMETRO DE PONTEIRA 45MM, MOTOR ELÉTRICO TRIFÁSICO POTÊNCIA DE 2 CV - CHP DIURNO. AF_06/2015</t>
  </si>
  <si>
    <t>0,088000000</t>
  </si>
  <si>
    <t>90587U</t>
  </si>
  <si>
    <t>VIBRADOR DE IMERSÃO, DIÂMETRO DE PONTEIRA 45MM, MOTOR ELÉTRICO TRIFÁSICO POTÊNCIA DE 2 CV - CHI DIURNO. AF_06/2015</t>
  </si>
  <si>
    <t>0,093000000</t>
  </si>
  <si>
    <t>88243U</t>
  </si>
  <si>
    <t>AJUDANTE ESPECIALIZADO COM ENCARGOS COMPLEMENTARES</t>
  </si>
  <si>
    <t>0,085000000</t>
  </si>
  <si>
    <t>0,113000000</t>
  </si>
  <si>
    <t>0,512000000</t>
  </si>
  <si>
    <t>0,586000000</t>
  </si>
  <si>
    <t>0,127000000</t>
  </si>
  <si>
    <t>Montador</t>
  </si>
  <si>
    <t>0,200000000</t>
  </si>
  <si>
    <t>0,900000000</t>
  </si>
  <si>
    <t>0,880000000</t>
  </si>
  <si>
    <t>Concreto dosado em central C25 S50</t>
  </si>
  <si>
    <t>0,163000000</t>
  </si>
  <si>
    <t>0,007000000</t>
  </si>
  <si>
    <t>0,122000000</t>
  </si>
  <si>
    <t>0,149100000</t>
  </si>
  <si>
    <t>CONCRETO USINADO BOMBEAVEL, CLASSE DE RESISTENCIA C25, COM BRITA 0 E 1, SLUMP = 100 +/- 20 MM, EXCLUI SERVICO DE BOMBEAMENTO (NBR 8953)</t>
  </si>
  <si>
    <t>0,035000000</t>
  </si>
  <si>
    <t>0,015000000</t>
  </si>
  <si>
    <t>88248U</t>
  </si>
  <si>
    <t>AUXILIAR DE ENCANADOR OU BOMBEIRO HIDRÁULICO COM ENCARGOS COMPLEMENTARES</t>
  </si>
  <si>
    <t>88267U</t>
  </si>
  <si>
    <t>ENCANADOR OU BOMBEIRO HIDRÁULICO COM ENCARGOS COMPLEMENTARES</t>
  </si>
  <si>
    <t>0,750000000</t>
  </si>
  <si>
    <t>POLIESTIRENO EXPANDIDO/EPS (ISOPOR), TIPO 2F, PLACA, ISOLAMENTO TERMOACUSTICO, E = 10 MM, 1000 X 500 MM</t>
  </si>
  <si>
    <t>COLA BRANCA BASE PVA</t>
  </si>
  <si>
    <t>LIXA EM FOLHA PARA PAREDE OU MADEIRA, NUMERO 120 (COR VERMELHA)</t>
  </si>
  <si>
    <t>88310U</t>
  </si>
  <si>
    <t>PINTOR COM ENCARGOS COMPLEMENTARES</t>
  </si>
  <si>
    <t>0,056300000</t>
  </si>
  <si>
    <t>0,055800000</t>
  </si>
  <si>
    <t>JUNTA DILATACAO ELASTICA PARA CONCRETO (FUGENBAND) O-22, ATE 30 MCA</t>
  </si>
  <si>
    <t>0,120000000</t>
  </si>
  <si>
    <t>88315U</t>
  </si>
  <si>
    <t>SERRALHEIRO COM ENCARGOS COMPLEMENTARES</t>
  </si>
  <si>
    <t>98746U</t>
  </si>
  <si>
    <t>SOLDA DE TOPO EM CHAPA/PERFIL/TUBO DE AÇO CHANFRADO, ESPESSURA=1/4. AF_06/2018</t>
  </si>
  <si>
    <t>LT</t>
  </si>
  <si>
    <t>LIXA E FOLHA PARA FERRO, Nº 150</t>
  </si>
  <si>
    <t>SOLVENTE DILUENTE A BASE DE AGUARRÁZ</t>
  </si>
  <si>
    <t>CENTO</t>
  </si>
  <si>
    <t>94970U</t>
  </si>
  <si>
    <t>CONCRETO FCK = 20MPA, TRAÇO 1:2,7:3 (CIMENTO/ AREIA MÉDIA/ BRITA 1) - PREPARO MECÂNICO COM BETONEIRA 600 L. AF_07/2016</t>
  </si>
  <si>
    <t>TIJOLO CERAMICO MACICO *5 X 10 X 20* CM</t>
  </si>
  <si>
    <t>Tijolo cerâmico comum para alvenaria 5,5 x 11 x 23,5 cm</t>
  </si>
  <si>
    <t>ACO CA-50, 12,5 MM, VERGALHAO</t>
  </si>
  <si>
    <t>GRANITO PARA BANCADA, POLIDO, TIPO ANDORINHA/ QUARTZ/ CASTELO/ CORUMBA OU OUTROS EQUIVALENTES DA REGIAO, E= *2,5* CM</t>
  </si>
  <si>
    <t>CIMENTO BRANCO</t>
  </si>
  <si>
    <t>0,700000000</t>
  </si>
  <si>
    <t>88274U</t>
  </si>
  <si>
    <t>MARMORISTA/GRANITEIRO COM ENCARGOS COMPLEMENTARES</t>
  </si>
  <si>
    <t>88631U</t>
  </si>
  <si>
    <t>ARGAMASSA TRAÇO 1:4 (EM VOLUME DE CIMENTO E AREIA MÉDIA ÚMIDA), PREPARO MANUAL. AF_08/2019</t>
  </si>
  <si>
    <t>0,003300000</t>
  </si>
  <si>
    <t>04.01.211.25U</t>
  </si>
  <si>
    <t>Porta Metálica de abrir, com perfis estruturantes e caixilhos em aço, fechamento em chapa dobrada e=1,2mm</t>
  </si>
  <si>
    <t>0,310000000</t>
  </si>
  <si>
    <t>04.01.211.26U</t>
  </si>
  <si>
    <t>Porta Metálica de abrir, com perfis estruturantes e caixilhos em aço, fechamento em chapa dobrada e=1,2mm, com isolamento acústico</t>
  </si>
  <si>
    <t>DOBRADICA EM LATAO, 3 " X 2 1/2 ", E= 1,9 A 2 MM, COM ANEL, CROMADO, TAMPA BOLA, COM PARAFUSOS</t>
  </si>
  <si>
    <t>CHAPA DE ACO FINA A FRIO BITOLA MSG 24, E = 0,60 MM (4,80 KG/M2)</t>
  </si>
  <si>
    <t>0,490000000</t>
  </si>
  <si>
    <t>CANTONEIRA FERRO GALVANIZADO DE ABAS IGUAIS, 1" X 1/8" (L X E) , 1,20KG/M</t>
  </si>
  <si>
    <t>0,400000000</t>
  </si>
  <si>
    <t>0,890000000</t>
  </si>
  <si>
    <t>04.01.200.039</t>
  </si>
  <si>
    <t>PERFIL CHAPA DOBRADA CAIXA P/ROLDANA 30X35MM (L.D.=160MM)#1,2MM (1,536 kg/M)</t>
  </si>
  <si>
    <t>04.01.200.043U</t>
  </si>
  <si>
    <t>PERFIL INDUSTRIAL CANTONEIRA ABAS IGUAIS 1.1/2" # 5MM (2,97 kg/m)</t>
  </si>
  <si>
    <t>04.01.200.044U</t>
  </si>
  <si>
    <t>PERFIL INDUSTRIAL CANTONEIRA ABAS IGUAIS 3" # 6MM (6,87 kg/m)</t>
  </si>
  <si>
    <t>ELETRODO REVESTIDO AWS - E7018, DIAMETRO IGUAL A 4,00 MM</t>
  </si>
  <si>
    <t>ACO CA-25, 25,0 MM, VERGALHAO</t>
  </si>
  <si>
    <t>88317U</t>
  </si>
  <si>
    <t>SOLDADOR COM ENCARGOS COMPLEMENTARES</t>
  </si>
  <si>
    <t>98764U</t>
  </si>
  <si>
    <t>INVERSOR DE SOLDA MONOFÁSICO DE 160 A, POTÊNCIA DE 5400 W, TENSÃO DE 220 V, PARA SOLDA COM ELETRODOS DE 2,0 A 4,0 MM E PROCESSO TIG - CHP DIURNO. AF_06/2018</t>
  </si>
  <si>
    <t>0,670000000</t>
  </si>
  <si>
    <t>04.01.200.021</t>
  </si>
  <si>
    <t>PERFIL INDUSTRIAL RETANGULAR 150X100M#18 (32,2 kg/br)</t>
  </si>
  <si>
    <t>04.01.200.023</t>
  </si>
  <si>
    <t>PERFIL INDUSTRIAL RETANGULAR 80X40M#18 (14,8 kg/br)</t>
  </si>
  <si>
    <t>04.01.200.024</t>
  </si>
  <si>
    <t>PERFIL INDUSTRIAL RETANGULAR 40X18M#22 (6,69 kg/br)</t>
  </si>
  <si>
    <t>04.01.200.025</t>
  </si>
  <si>
    <t>PERFIL INDUSTRIAL RETANGULAR 40X15M#22 (5,42 kg/br)</t>
  </si>
  <si>
    <t>04.01.200.026</t>
  </si>
  <si>
    <t>PERFIL INDUSTRIAL RETANGULAR 25X15M#22 (4,296 kg/br)</t>
  </si>
  <si>
    <t>04.01.200.027</t>
  </si>
  <si>
    <t>PERFIL INDUSTRIAL RETANGULAR 15X15M#22 (3,87 kg/br)</t>
  </si>
  <si>
    <t>04.01.200.030</t>
  </si>
  <si>
    <t>CANTONEIRA DE CHAPA DOBRADA # 14 21,5x44mm (0,672 kg/m)</t>
  </si>
  <si>
    <t>04.01.200.035</t>
  </si>
  <si>
    <t>PERFIL INDUSTRIAL U SIMPLES 100X50MM#22 (17,22 kg/br)</t>
  </si>
  <si>
    <t>04.01.200.060</t>
  </si>
  <si>
    <t>Braço Maximo ar 400mm</t>
  </si>
  <si>
    <t>PAR</t>
  </si>
  <si>
    <t>04.01.200.061</t>
  </si>
  <si>
    <t>Fecho alavanca max ar 125 DBZ</t>
  </si>
  <si>
    <t>ELETRODO REVESTIDO AWS - E6013, DIAMETRO IGUAL A 2,50 MM</t>
  </si>
  <si>
    <t>PARAFUSO ROSCA SOBERBA ZINCADO CABECA CHATA FENDA SIMPLES 5,5 X 65 MM (2.1/2 ")</t>
  </si>
  <si>
    <t>PARAFUSO DE ACO TIPO CHUMBADOR PARABOLT, DIAMETRO 3/8", COMPRIMENTO 75 MM</t>
  </si>
  <si>
    <t>PERFIL DE BORRACHA EPDM MACICO *12 X 15* MM PARA ESQUADRIAS</t>
  </si>
  <si>
    <t>FECHADURA DE EMBUTIR PARA PORTA EXTERNA / ENTRADA, MAQUINA 55 MM, COM CILINDRO, MACANETA ALAVANCA E ESPELHO EM METAL CROMADO - NIVEL SEGURANCA MEDIO - COMPLETA</t>
  </si>
  <si>
    <t>PARAFUSO, AUTO ATARRACHANTE, CABECA CHATA, FENDA SIMPLES, 1/4? (6,35 MM) X 25 MM</t>
  </si>
  <si>
    <t>74064/1U</t>
  </si>
  <si>
    <t>FUNDO ANTICORROSIVO A BASE DE OXIDO DE FERRO (ZARCAO), DUAS DEMAOS</t>
  </si>
  <si>
    <t>BUCHA DE NYLON SEM ABA S10, COM PARAFUSO DE 6,10 X 65 MM EM ACO ZINCADO COM ROSCA SOBERBA, CABECA CHATA E FENDA PHILLIPS</t>
  </si>
  <si>
    <t>98689U</t>
  </si>
  <si>
    <t>SOLEIRA EM GRANITO, LARGURA 15 CM, ESPESSURA 2,0 CM. AF_06/2018</t>
  </si>
  <si>
    <t>0,350000000</t>
  </si>
  <si>
    <t>0,800000000</t>
  </si>
  <si>
    <t>04.01.200.028</t>
  </si>
  <si>
    <t>PERFIL INDUSTRIAL RETANGULAR 10X10M#22 (2,68 kg/br)</t>
  </si>
  <si>
    <t>04.01.200.036</t>
  </si>
  <si>
    <t>PERFIL CHAPA DOBRADA "U" 14X56MM#1,2MM (0,81 kg/M)</t>
  </si>
  <si>
    <t>04.01.200.037</t>
  </si>
  <si>
    <t>PERFIL CHAPA DOBRADA "QUADRO" 100X55MM (L.D.=250MM)#1,2MM (2,40 kg/M)</t>
  </si>
  <si>
    <t>04.01.200.038</t>
  </si>
  <si>
    <t>PERFIL CHAPA DOBRADA C/GUIA SUPERIOR 30X35MM (L.D.=195MM)#1,2MM (1,872 kg/M)</t>
  </si>
  <si>
    <t>04.01.200.040</t>
  </si>
  <si>
    <t>PERFIL CHAPA DOBRADA "QUADRO" C/ORELHA 30X40MM (L.D.=150MM)#1,2MM (1,44 kg/M)</t>
  </si>
  <si>
    <t>04.01.200.041</t>
  </si>
  <si>
    <t>PERFIL CHAPA DOBRADA "QUADRO" S/ORELHA 30X40MM (L.D.=140MM)#1,2MM (1,344kg/M)</t>
  </si>
  <si>
    <t>FECHO / FECHADURA COM PUXADOR CONCHA, COM TRANCA TIPO TRAVA, PARA JANELA / PORTA DE CORRER (INCLUI TESTA, FECHADURA, PUXADOR) - COMPLETA</t>
  </si>
  <si>
    <t>0,150000000</t>
  </si>
  <si>
    <t>SELANTE ELASTICO MONOCOMPONENTE A BASE DE POLIURETANO PARA JUNTAS DIVERSAS</t>
  </si>
  <si>
    <t>310ML</t>
  </si>
  <si>
    <t>0,850000000</t>
  </si>
  <si>
    <t>PORTA DE ABRIR EM ACO TIPO VENEZIANA, COM FUNDO ANTICORROSIVO / PRIMER DE PROTECAO, SEM GUARNICAO/ALIZAR/VISTA, 87 X 210 CM</t>
  </si>
  <si>
    <t>88251U</t>
  </si>
  <si>
    <t>AUXILIAR DE SERRALHEIRO COM ENCARGOS COMPLEMENTARES</t>
  </si>
  <si>
    <t>04.01.200.022</t>
  </si>
  <si>
    <t>PERFIL INDUSTRIAL RETANGULAR 100X50M#18 (18,1 kg/br)</t>
  </si>
  <si>
    <t>TUBO ACO GALVANIZADO COM COSTURA, CLASSE LEVE, DN 40 MM ( 1 1/2"), E = 3,00 MM, *3,48* KG/M (NBR 5580)</t>
  </si>
  <si>
    <t>88242U</t>
  </si>
  <si>
    <t>AJUDANTE DE PEDREIRO COM ENCARGOS COMPLEMENTARES</t>
  </si>
  <si>
    <t>TUBO ACO GALVANIZADO COM COSTURA, CLASSE MEDIA, DN 1.1/2", E = *3,25* MM, PESO *3,61* KG/M (NBR 5580)</t>
  </si>
  <si>
    <t>CHAPA DE ACO GROSSA, ASTM A36, E = 3/8 " (9,53 MM) 74,69 KG/M2</t>
  </si>
  <si>
    <t>Caixilho de alumínio para porta de vidro de correr (6,23x3,10m)</t>
  </si>
  <si>
    <t>0,052000000</t>
  </si>
  <si>
    <t>04.01.241.13U</t>
  </si>
  <si>
    <t>Caixilho de alumínio para janelas de vidro de correr (6,36x2,20m)</t>
  </si>
  <si>
    <t>0,072000000</t>
  </si>
  <si>
    <t>MASSA PARA VIDRO</t>
  </si>
  <si>
    <t>VIDRO TEMPERADO INCOLOR E = 6 MM, SEM COLOCACAO</t>
  </si>
  <si>
    <t>88325U</t>
  </si>
  <si>
    <t>VIDRACEIRO COM ENCARGOS COMPLEMENTARES</t>
  </si>
  <si>
    <t>VIDRO TEMPERADO INCOLOR E = 8 MM, SEM COLOCACAO</t>
  </si>
  <si>
    <t>VIDRO TEMPERADO INCOLOR E = 10 MM, SEM COLOCACAO</t>
  </si>
  <si>
    <t>ESPELHO CRISTAL E = 4 MM</t>
  </si>
  <si>
    <t>CHAPA DE MADEIRA COMPENSADA NAVAL (COM COLA FENOLICA), E = 6 MM, DE *1,60 X 2,20* M</t>
  </si>
  <si>
    <t>CANTONEIRA ALUMINIO ABAS DESIGUAIS 1" X 3/4 ", E = 1/8 "</t>
  </si>
  <si>
    <t>ADITIVO ADESIVO LIQUIDO PARA ARGAMASSAS DE REVESTIMENTOS CIMENTICIOS</t>
  </si>
  <si>
    <t>0,180000000</t>
  </si>
  <si>
    <t>JUNTA PLASTICA DE DILATACAO PARA PISOS, COR CINZA, 17 X 3 MM (ALTURA X ESPESSURA)</t>
  </si>
  <si>
    <t>PISO EM GRANILITE, MARMORITE OU GRANITINA, AGREGADO COR PRETO, CINZA, PALHA OU BRANCO, E= *8* MM (INCLUSO EXECUCAO)</t>
  </si>
  <si>
    <t>87373U</t>
  </si>
  <si>
    <t>ARGAMASSA TRAÇO 1:4 (EM VOLUME DE CIMENTO E AREIA MÉDIA ÚMIDA) PARA CONTRAPISO, PREPARO MANUAL. AF_08/2019</t>
  </si>
  <si>
    <t>CIMENTO PORTLAND COMPOSTO CP II-32</t>
  </si>
  <si>
    <t>87301U</t>
  </si>
  <si>
    <t>ARGAMASSA TRAÇO 1:4 (EM VOLUME DE CIMENTO E AREIA MÉDIA ÚMIDA) PARA CONTRAPISO, PREPARO MECÂNICO COM BETONEIRA 400 L. AF_08/2019</t>
  </si>
  <si>
    <t>0,330000000</t>
  </si>
  <si>
    <t>04.01.534.1M</t>
  </si>
  <si>
    <t>Revestimento cerâmico tijolinho 6,5x25,5cm, PIERINI imperial</t>
  </si>
  <si>
    <t>ARGAMASSA COLANTE AC I PARA CERAMICAS</t>
  </si>
  <si>
    <t>REJUNTE COLORIDO, CIMENTICIO</t>
  </si>
  <si>
    <t>88256U</t>
  </si>
  <si>
    <t>AZULEJISTA OU LADRILHISTA COM ENCARGOS COMPLEMENTARES</t>
  </si>
  <si>
    <t>CHAPA DE GESSO ACARTONADO, STANDARD (ST), COR BRANCA, E = 12,5 MM, 1200 X 2400 MM (L X C)</t>
  </si>
  <si>
    <t>FITA DE PAPEL REFORCADA COM LAMINA DE METAL PARA REFORCO DE CANTOS DE CHAPA DE GESSO PARA DRYWALL</t>
  </si>
  <si>
    <t>MASSA DE REJUNTE EM PO PARA DRYWALL, A BASE DE GESSO, SECAGEM RAPIDA, PARA TRATAMENTO DE JUNTAS DE CHAPA DE GESSO (COM ADICAO DE AGUA)</t>
  </si>
  <si>
    <t>PARAFUSO DRY WALL, EM ACO FOSFATIZADO, CABECA TROMBETA E PONTA AGULHA (TA), COMPRIMENTO 25 MM</t>
  </si>
  <si>
    <t>88278U</t>
  </si>
  <si>
    <t>MONTADOR DE ESTRUTURA METÁLICA COM ENCARGOS COMPLEMENTARES</t>
  </si>
  <si>
    <t>PARAFUSO DRY WALL, EM ACO ZINCADO, CABECA LENTILHA E PONTA BROCA (LB), LARGURA 4,2 MM, COMPRIMENTO 13 MM</t>
  </si>
  <si>
    <t>Ajudante de pintor</t>
  </si>
  <si>
    <t>Pintor</t>
  </si>
  <si>
    <t>21.001.000014.MAT</t>
  </si>
  <si>
    <t>Hidrorepelente incolor à base de silano-siloxano (resina de silicone)</t>
  </si>
  <si>
    <t>ACIDO MURIATICO, DILUICAO 10% A 12% PARA USO EM LIMPEZA</t>
  </si>
  <si>
    <t>TINTA BORRACHA CLORADA, ACABAMENTO SEMIBRILHO, CORES VIVAS</t>
  </si>
  <si>
    <t>SOLVENTE DILUENTE A BASE DE AGUARRAS</t>
  </si>
  <si>
    <t>LIXA EM FOLHA PARA FERRO, NUMERO 150</t>
  </si>
  <si>
    <t>TINTA ESMALTE SINTETICO PREMIUM BRILHANTE</t>
  </si>
  <si>
    <t>0,144000000</t>
  </si>
  <si>
    <t>FUNDO ANTICORROSIVO PARA METAIS FERROSOS (ZARCAO)</t>
  </si>
  <si>
    <t>PINO DE ACO COM ARRUELA CONICA, DIAMETRO ARRUELA = *23* MM E COMP HASTE = *27* MM (ACAO INDIRETA)</t>
  </si>
  <si>
    <t>PERFIL GUIA, FORMATO U, EM ACO ZINCADO, PARA ESTRUTURA PAREDE DRYWALL, E = 0,5 MM, 70 X 3000 MM (L X C)</t>
  </si>
  <si>
    <t>PERFIL MONTANTE, FORMATO C, EM ACO ZINCADO, PARA ESTRUTURA PAREDE DRYWALL, E = 0,5 MM, 70 X 3000 MM (L X C)</t>
  </si>
  <si>
    <t>FITA DE PAPEL MICROPERFURADO, 50 X 150 MM, PARA TRATAMENTO DE JUNTAS DE CHAPA DE GESSO PARA DRYWALL</t>
  </si>
  <si>
    <t>ISOLAMENTO TERMICO COM MANTA DE LA DE VIDRO, ESPESSURA 2,5CM</t>
  </si>
  <si>
    <t>GEOTEXTIL NAO TECIDO AGULHADO DE FILAMENTOS CONTINUOS 100% POLIESTER, RESITENCIA A TRACAO = 21 KN/M</t>
  </si>
  <si>
    <t>12.021.000001.MAT</t>
  </si>
  <si>
    <t>Emulsão acrílica</t>
  </si>
  <si>
    <t>0,690000000</t>
  </si>
  <si>
    <t>0,345000000</t>
  </si>
  <si>
    <t>Areia média lavada</t>
  </si>
  <si>
    <t>EMPRE</t>
  </si>
  <si>
    <t>10.002.000046.MAT</t>
  </si>
  <si>
    <t>Manta asfáltica estruturada com filme polietileno # 3 mm</t>
  </si>
  <si>
    <t>0,108000000</t>
  </si>
  <si>
    <t>AREIA MEDIA - POSTO JAZIDA/FORNECEDOR (RETIRADO NA JAZIDA, SEM TRANSPORTE)</t>
  </si>
  <si>
    <t>GRANILHA/ GRANA/ PEDRISCO OU AGREGADO EM MARMORE/ GRANITO/ QUARTZO E CALCARIO, PRETO, CINZA, PALHA OU BRANCO</t>
  </si>
  <si>
    <t>0,540000000</t>
  </si>
  <si>
    <t>LADRILHO HIDRAULICO, *20 x 20* CM, E= 2 CM, PADRAO COPACABANA, 2 CORES (PRETO E BRANCO)</t>
  </si>
  <si>
    <t>ARGAMASSA COLANTE TIPO ACIII</t>
  </si>
  <si>
    <t>RESINA ACRILICA BASE AGUA - COR BRANCA</t>
  </si>
  <si>
    <t>01.016.000004.SET</t>
  </si>
  <si>
    <t>Peitoril reto de granito cinza andorinha 25 x 2 cm</t>
  </si>
  <si>
    <t>06.103.000325.SER</t>
  </si>
  <si>
    <t>Argamassa mista de cimento, cal e areia traço 1:1:4</t>
  </si>
  <si>
    <t>0,006250000</t>
  </si>
  <si>
    <t>0,790000000</t>
  </si>
  <si>
    <t>REJUNTE EPOXI BRANCO</t>
  </si>
  <si>
    <t>0,025700000</t>
  </si>
  <si>
    <t>SUPORTE MAO-FRANCESA EM ACO, ABAS IGUAIS 30 CM, CAPACIDADE MINIMA 60 KG, BRANCO</t>
  </si>
  <si>
    <t>MASSA PLASTICA PARA MARMORE/GRANITO</t>
  </si>
  <si>
    <t>0,384400000</t>
  </si>
  <si>
    <t>SUPORTE MAO-FRANCESA EM ACO, ABAS IGUAIS 40 CM, CAPACIDADE MINIMA 70 KG, BRANCO</t>
  </si>
  <si>
    <t>0,007940000</t>
  </si>
  <si>
    <t>0,006900000</t>
  </si>
  <si>
    <t>0,076000000</t>
  </si>
  <si>
    <t>LIXA DAGUA EM FOLHA, GRAO 100</t>
  </si>
  <si>
    <t>0,038000000</t>
  </si>
  <si>
    <t>SOLUCAO LIMPADORA PARA PVC, FRASCO COM 1000 CM3</t>
  </si>
  <si>
    <t>14.001.000433.MAT</t>
  </si>
  <si>
    <t>Joelho 90º PVC soldável Ø 25 mm com bucha de latão roscável Ø 1/2"</t>
  </si>
  <si>
    <t>Solução limpadora para PVC</t>
  </si>
  <si>
    <t>0,002200000</t>
  </si>
  <si>
    <t>0,090000000</t>
  </si>
  <si>
    <t>0,009500000</t>
  </si>
  <si>
    <t>14.001.000530.MAT</t>
  </si>
  <si>
    <t>Bucha PVC soldável de redução curta Ø 32 mm x Ø 25 mm</t>
  </si>
  <si>
    <t>0,140000000</t>
  </si>
  <si>
    <t>0,012500000</t>
  </si>
  <si>
    <t>14.001.000531.MAT</t>
  </si>
  <si>
    <t>Bucha PVC soldável de redução curta Ø 40 mm x Ø 32 mm</t>
  </si>
  <si>
    <t>0,007480000</t>
  </si>
  <si>
    <t>0,170000000</t>
  </si>
  <si>
    <t>0,015200000</t>
  </si>
  <si>
    <t>14.001.000532.MAT</t>
  </si>
  <si>
    <t>Bucha PVC soldável de redução curta Ø 50 mm x Ø 40 mm</t>
  </si>
  <si>
    <t>0,011600000</t>
  </si>
  <si>
    <t>ADESIVO PLASTICO PARA PVC, FRASCO COM 850 GR</t>
  </si>
  <si>
    <t>PÇ</t>
  </si>
  <si>
    <t>Engate flexível em PVC Ø 1/2" x 30 cm</t>
  </si>
  <si>
    <t>Engate flexível metálico Ø 1/2" x 30 cm</t>
  </si>
  <si>
    <t>15.003.000015.MAT</t>
  </si>
  <si>
    <t>Coluna de louça suspensa para lavatório de louça indicado para portadores de necessidades especiais</t>
  </si>
  <si>
    <t>Lavatório de louça indicado para portadores de necessidades especiais para coluna suspensa</t>
  </si>
  <si>
    <t>15.004.000001.MAT</t>
  </si>
  <si>
    <t>Barra de apoio para portadores de necessidades especiais em aço galvanizado revestido com PVC em formato "L" Ø 1 1/4", 66 x 66 cm</t>
  </si>
  <si>
    <t>25.002.000021.MAT</t>
  </si>
  <si>
    <t>Parafuso cromado Ø 1/4" x 2 1/2"</t>
  </si>
  <si>
    <t>25.011.000003.MAT</t>
  </si>
  <si>
    <t>Bucha de nylon Ø 5 mm com parafuso auto-atarraxante cabeça panela fenda simples Ø 3,8 mm x 30 mm</t>
  </si>
  <si>
    <t>MICTORIO SIFONADO LOUCA BRANCA SEM COMPLEMENTOS</t>
  </si>
  <si>
    <t>ENGATE / RABICHO FLEXIVEL INOX 1/2 " X 30 CM</t>
  </si>
  <si>
    <t>FITA VEDA ROSCA EM ROLOS DE 18 MM X 10 M (L X C)</t>
  </si>
  <si>
    <t>PARAFUSO NIQUELADO 3 1/2" COM ACABAMENTO CROMADO PARA FIXAR PECA SANITARIA, INCLUI PORCA CEGA, ARRUELA E BUCHA DE NYLON TAMANHO S-8</t>
  </si>
  <si>
    <t>REGISTRO PRESSAO COM ACABAMENTO E CANOPLA CROMADA, SIMPLES, BITOLA 1/2 " (REF 1416)</t>
  </si>
  <si>
    <t>0,230000000</t>
  </si>
  <si>
    <t>BOMBA CENTRIFUGA, MOTOR ELETRICO TRIFASICO 1,48HP DIAMETRO DE SUCCAO X ELEVACAO 1 1/2" X 1", DIAMETRO DO ROTOR 117 MM, HM/Q: 10 M / 21,9 M3/H A 24 M / 6,1 M3/H</t>
  </si>
  <si>
    <t>88279U</t>
  </si>
  <si>
    <t>MONTADOR ELETROMECÃNICO COM ENCARGOS COMPLEMENTARES</t>
  </si>
  <si>
    <t>AUTOMATICO DE BOIA SUPERIOR / INFERIOR, *15* A / 250 V</t>
  </si>
  <si>
    <t>88247U</t>
  </si>
  <si>
    <t>AUXILIAR DE ELETRICISTA COM ENCARGOS COMPLEMENTARES</t>
  </si>
  <si>
    <t>88264U</t>
  </si>
  <si>
    <t>ELETRICISTA COM ENCARGOS COMPLEMENTARES</t>
  </si>
  <si>
    <t>TINTA A OLEO BRILHANTE PARA MADEIRA E METAIS</t>
  </si>
  <si>
    <t>0,160000000</t>
  </si>
  <si>
    <t>Ralo fofo semiesferico, 75 mm, para lajes/ calhas</t>
  </si>
  <si>
    <t>Ralo fofo semiesferico, 100 mm, para lajes/ calhas</t>
  </si>
  <si>
    <t>87316U</t>
  </si>
  <si>
    <t>ARGAMASSA TRAÇO 1:4 (EM VOLUME DE CIMENTO E AREIA GROSSA ÚMIDA) PARA CHAPISCO CONVENCIONAL, PREPARO MECÂNICO COM BETONEIRA 400 L. AF_08/2019</t>
  </si>
  <si>
    <t>CAP PVC, SOLDAVEL, DN 100 MM, SERIE NORMAL, PARA ESGOTO PREDIAL</t>
  </si>
  <si>
    <t>0,046000000</t>
  </si>
  <si>
    <t>00485/ORSE</t>
  </si>
  <si>
    <t>Caixa de passagem 30x30cm, em chapa de aço galvanizado p/eletrica</t>
  </si>
  <si>
    <t>00589/ORSE</t>
  </si>
  <si>
    <t>Chave liga-desliga 3x30a</t>
  </si>
  <si>
    <t>00597/ORSE</t>
  </si>
  <si>
    <t>09290/ORSE</t>
  </si>
  <si>
    <t>Caixa de medição indireta em chapa galvanizada dim. 60 x 40 x 10cm</t>
  </si>
  <si>
    <t>CAIXA INTERNA DE MEDICAO PARA 1 MEDIDOR TRIFASICO, COM VISOR, EM CHAPA DE ACO 18 USG (PADRAO DA CONCESSIONARIA LOCAL)</t>
  </si>
  <si>
    <t>CAIXA DE PROTECAO PARA 1 MEDIDOR MONOFASICO, EM CHAPA DE ACO 20 USG (PADRAO DA CONCESSIONARIA LOCAL)</t>
  </si>
  <si>
    <t>83490U</t>
  </si>
  <si>
    <t>CHAVE FACA TRIPOLAR BLINDADA 250V/30A - FORNECIMENTO E INSTALACAO</t>
  </si>
  <si>
    <t>FITA ISOLANTE ADESIVA ANTICHAMA, USO ATE 750 V, EM ROLO DE 19 MM X 5 M</t>
  </si>
  <si>
    <t>CAL HIDRATADA CH-I PARA ARGAMASSAS</t>
  </si>
  <si>
    <t>TAMPAO FOFO SIMPLES COM BASE, CLASSE A15 CARGA MAX 1,5 T, *400 X 600* MM, REDE TELEFONE</t>
  </si>
  <si>
    <t>ACO CA-60, 5,0 MM, VERGALHAO</t>
  </si>
  <si>
    <t>PEDRA BRITADA N. 1 (9,5 a 19 MM) POSTO PEDREIRA/FORNECEDOR, SEM FRETE</t>
  </si>
  <si>
    <t>QUADRO DE DISTRIBUICAO COM BARRAMENTO TRIFASICO, DE EMBUTIR, EM CHAPA DE ACO GALVANIZADO, PARA 12 DISJUNTORES DIN, 100 A</t>
  </si>
  <si>
    <t>DISJUNTOR TIPO NEMA, TRIPOLAR 60 ATE 100 A, TENSAO MAXIMA DE 415 V</t>
  </si>
  <si>
    <t>DISJUNTOR TIPO NEMA, TRIPOLAR 10 ATE 50A, TENSAO MAXIMA DE 415 V</t>
  </si>
  <si>
    <t>Disjuntor tetrapolar DR 80 A, dispositivo residual diferencial, tipo AC, 30mA</t>
  </si>
  <si>
    <t>QUADRO DE DISTRIBUICAO COM BARRAMENTO TRIFASICO, DE EMBUTIR, EM CHAPA DE ACO GALVANIZADO, PARA 30 DISJUNTORES DIN, 225 A</t>
  </si>
  <si>
    <t>DISJUNTOR TIPO NEMA, MONOPOLAR 10 ATE 30A, TENSAO MAXIMA DE 240 V</t>
  </si>
  <si>
    <t>DISJUNTOR TIPO NEMA, MONOPOLAR 35 ATE 50 A, TENSAO MAXIMA DE 240 V</t>
  </si>
  <si>
    <t>07943/ORSE</t>
  </si>
  <si>
    <t>Disjuntor tetrapolar DR 25 A, dispositivo residual diferencial, tipo AC, 30mA</t>
  </si>
  <si>
    <t>0,065300000</t>
  </si>
  <si>
    <t>16.027.000025.MAT</t>
  </si>
  <si>
    <t>Eletrocalha aço galvanizado # 22, lisa tipo "U", sem tampa 75 x 50 mm</t>
  </si>
  <si>
    <t>16.027.000038.MAT</t>
  </si>
  <si>
    <t>Barra roscada em aço Ø 1/4", comprimento 1 m, bicromatizada ou zincada</t>
  </si>
  <si>
    <t>16.027.000057.MAT</t>
  </si>
  <si>
    <t>Suporte suspensão para tirante</t>
  </si>
  <si>
    <t>Parafuso lentilha 1/4 x 1/2"</t>
  </si>
  <si>
    <t>16.027.000098.MAT</t>
  </si>
  <si>
    <t>Tala auto portante para emenda 50 mm</t>
  </si>
  <si>
    <t>0,666666667</t>
  </si>
  <si>
    <t>25.011.000002.MAT</t>
  </si>
  <si>
    <t>Bucha de nylon Ø 8 mm com parafuso auto-atarraxante cabeça panela fenda simples Ø 4,8 mm x 50 mm</t>
  </si>
  <si>
    <t>16.027.000023.MAT</t>
  </si>
  <si>
    <t>Eletrocalha aço galvanizado # 22, lisa tipo "U", sem tampa 50 x 50mm</t>
  </si>
  <si>
    <t>Suporte suspensão vertical para eletrocalha 50 x 50 mm largura x aba</t>
  </si>
  <si>
    <t>16.027.000031.MAT</t>
  </si>
  <si>
    <t>Eletrocalha aço galvanizado # 22, perfurada tipo "U", sem tampa 100 x 50 mm</t>
  </si>
  <si>
    <t>Suporte suspensão vertical para eletrocalha 100 x 50 mm largura x aba</t>
  </si>
  <si>
    <t>Suporte suspensão omega para eletrocalha 150 x 50 mm largura x aba</t>
  </si>
  <si>
    <t>16.027.000079.MAT</t>
  </si>
  <si>
    <t>Eletrocalha aço galvanizado # 22, lisa tipo "U", sem tampa 150 x 50 mm</t>
  </si>
  <si>
    <t>16.027.000095.MAT</t>
  </si>
  <si>
    <t>Prolongador para tirante rosqueado de 1/4" x 50 mm</t>
  </si>
  <si>
    <t>16.113.001035.SER</t>
  </si>
  <si>
    <t>Tiro com pistola para fixação de pino Ø 1/4" em concreto, inclusive cartucho e pino</t>
  </si>
  <si>
    <t>CHUMBADOR, DIAMETRO 1/4" COM PARAFUSO 1/4" X 40 MM</t>
  </si>
  <si>
    <t>0,450000000</t>
  </si>
  <si>
    <t>PERFIL DE ALUMINIO ANODIZADO</t>
  </si>
  <si>
    <t>LUMINÁRIAS TIPO CALHA, DE SOBREPOR, COM REATORES DE PARTIDA RÁPIDA E LÂMPADAS FLUORESCENTES 2X2X36W, COMPLETAS, FORNECIMENTO E INSTALAÇÃO</t>
  </si>
  <si>
    <t>07952/ORSE</t>
  </si>
  <si>
    <t>Luminária de embutir no forro, ref.CE-2495, em aluminio repuxado, Tecnolux ou similar</t>
  </si>
  <si>
    <t>LAMPADA LED 10 W BIVOLT BRANCA, FORMATO TRADICIONAL (BASE E27)</t>
  </si>
  <si>
    <t>Spot de sobrepor orientável, ref. 110/1 MCA da Concinco ou similar</t>
  </si>
  <si>
    <t>LAMPADA VAPOR METALICO OVOIDE 150 W, BASE E27/E40</t>
  </si>
  <si>
    <t>09493/ORSE</t>
  </si>
  <si>
    <t>Caixa de passagem em alumínio 15 x 15 x 10 cm</t>
  </si>
  <si>
    <t>SUPORTE DE FIXACAO PARA ESPELHO / PLACA 4" X 4", PARA 6 MODULOS, PARA INSTALACAO DE TOMADAS E INTERRUPTORES (SOMENTE SUPORTE)</t>
  </si>
  <si>
    <t>TOMADA INDUSTRIAL DE EMBUTIR 3P+T 30 A, 440 V, COM TRAVA, SEM PLACA</t>
  </si>
  <si>
    <t>BASE PARA MASTRO DE PARA-RAIOS DIAMETRO NOMINAL 2"</t>
  </si>
  <si>
    <t>ABRACADEIRA DE LATAO PARA FIXACAO DE CABO PARA-RAIO, DIMENSOES 32 X 24 X 24 MM</t>
  </si>
  <si>
    <t>ABRACADEIRA, GALVANIZADA/ZINCADA, ROSCA SEM FIM, PARAFUSO INOX, LARGURA FITA *12,6 A *14 MM, D = 2" A 2 1/2"</t>
  </si>
  <si>
    <t>MASTRO SIMPLES GALVANIZADO DIAMETRO NOMINAL 2", COMPRIMENTO 3 M</t>
  </si>
  <si>
    <t>GRAMPO PARALELO METALICO PARA CABO DE 6 A 50 MM2, COM 2 PARAFUSOS</t>
  </si>
  <si>
    <t>TERMINAL METALICO A PRESSAO PARA 1 CABO DE 35 MM2, COM 1 FURO DE FIXACAO</t>
  </si>
  <si>
    <t>TERMINAL METALICO A PRESSAO PARA 1 CABO DE 50 MM2, COM 1 FURO DE FIXACAO</t>
  </si>
  <si>
    <t>TERMINAL METALICO A PRESSAO PARA 1 CABO DE 70 MM2, COM 1 FURO DE FIXACAO</t>
  </si>
  <si>
    <t>CONECTOR DE ALUMINIO TIPO PRENSA CABO, BITOLA 1/2", PARA CABOS DE DIAMETRO DE 12,5 A 15 MM</t>
  </si>
  <si>
    <t>CURVA PVC 90 GRAUS, ROSCAVEL, 2", AGUA FRIA PREDIAL</t>
  </si>
  <si>
    <t>CAIXA INSPECAO, CONCRETO PRE MOLDADO, CIRCULAR, COM TAMPA, D = 40* CM</t>
  </si>
  <si>
    <t>SUPORTE GUIA SIMPLES COM ROLDANA EM POLIPROPILENO PARA CHUMBAR, H = 20 CM</t>
  </si>
  <si>
    <t>LUVA PVC, ROSCAVEL, 2", AGUA FRIA PREDIAL</t>
  </si>
  <si>
    <t>LUVA DE REDUCAO DE FERRO GALVANIZADO, COM ROSCA BSP, DE 2" X 1"</t>
  </si>
  <si>
    <t>ABRACADEIRA EM ACO PARA AMARRACAO DE ELETRODUTOS, TIPO D, COM 2" E PARAFUSO DE FIXACAO</t>
  </si>
  <si>
    <t>PORCA OLHAL EM ACO GALVANIZADO, DIAMETRO NOMINAL DE 16 MM</t>
  </si>
  <si>
    <t>GRAMPO METALICO TIPO OLHAL PARA HASTE DE ATERRAMENTO DE 5/8, CONDUTOR DE *10* A 50 MM2</t>
  </si>
  <si>
    <t>PARA-RAIOS TIPO FRANKLIN 350 MM, EM LATAO CROMADO, DUAS DESCIDAS, PARA PROTECAO DE EDIFICACOES CONTRA DESCARGAS ATMOSFERICAS</t>
  </si>
  <si>
    <t>SUPORTE ISOLADOR REFORCADO DIAMETRO NOMINAL 5/16", COM ROSCA SOBERBA E BUCHA</t>
  </si>
  <si>
    <t>SAPATILHA EM ACO GALVANIZADO PARA CABOS COM DIAMETRO NOMINAL ATE 5/8"</t>
  </si>
  <si>
    <t>BUCHA DE REDUCAO DE FERRO GALVANIZADO, COM ROSCA BSP, DE 1" X 3/4"</t>
  </si>
  <si>
    <t>CABO DE ALUMINIO NU COM ALMA DE ACO, BITOLA 4 AWG</t>
  </si>
  <si>
    <t>CABO DE COBRE NU 35 MM2 MEIO-DURO</t>
  </si>
  <si>
    <t>CABO DE COBRE NU 50 MM2 MEIO-DURO</t>
  </si>
  <si>
    <t>88265U</t>
  </si>
  <si>
    <t>ELETRICISTA INDUSTRIAL COM ENCARGOS COMPLEMENTARES</t>
  </si>
  <si>
    <t>TUBO PVC, ROSCAVEL, 2", PARA AGUA FRIA PREDIAL</t>
  </si>
  <si>
    <t>CONECTOR METALICO TIPO PARAFUSO FENDIDO (SPLIT BOLT), COM SEPARADOR DE CABOS BIMETALICOS, PARA CABOS ATE 50 MM2</t>
  </si>
  <si>
    <t>ACO CA-50, 6,3 MM, VERGALHAO</t>
  </si>
  <si>
    <t>ALVENARIA DE VEDAÇÃO DE BLOCOS VAZADOS DE CONCRETO DE 9X19X39CM (ESPESSURA 9CM) DE PAREDES COM ÁREA LÍQUIDA MENOR QUE 6M² SEM VÃOS E ARGAMASSA DE ASSENTAMENTO COM PREPARO EM BETONEIRA. AF_06/2014</t>
  </si>
  <si>
    <t>87545U</t>
  </si>
  <si>
    <t>EMBOÇO, PARA RECEBIMENTO DE CERÂMICA, EM ARGAMASSA TRAÇO 1:2:8, PREPARO MECÂNICO COM BETONEIRA 400L, APLICADO MANUALMENTE EM FACES INTERNAS DE PAREDES, PARA AMBIENTE COM ÁREA MENOR QUE 5M2, ESPESSURA DE 10MM, COM EXECUÇÃO DE TALISCAS. AF_06/2014</t>
  </si>
  <si>
    <t>0,920000000</t>
  </si>
  <si>
    <t>94969U</t>
  </si>
  <si>
    <t>CONCRETO FCK = 15MPA, TRAÇO 1:3,4:3,5 (CIMENTO/ AREIA MÉDIA/ BRITA 1) - PREPARO MECÂNICO COM BETONEIRA 600 L. AF_07/2016</t>
  </si>
  <si>
    <t>0,684000000</t>
  </si>
  <si>
    <t>92411U</t>
  </si>
  <si>
    <t>0,470000000</t>
  </si>
  <si>
    <t>0,218000000</t>
  </si>
  <si>
    <t>0,169000000</t>
  </si>
  <si>
    <t>0,280800000</t>
  </si>
  <si>
    <t>0,004500000</t>
  </si>
  <si>
    <t>16.027.000078.MAT</t>
  </si>
  <si>
    <t>Eletrocalha aço galvanizado # 22, lisa tipo "U", sem tampa 100 x 50 mm</t>
  </si>
  <si>
    <t>0,660000000</t>
  </si>
  <si>
    <t>16.027.000064.MAT</t>
  </si>
  <si>
    <t>Eletrocalha aço galvanizado # 22, perfurada tipo "U", sem tampa 100 x 75 mm</t>
  </si>
  <si>
    <t>16.027.000099.MAT</t>
  </si>
  <si>
    <t>Tala auto portante para emenda 75 mm</t>
  </si>
  <si>
    <t>16.027.000104.MAT</t>
  </si>
  <si>
    <t>Suporte suspensão omega para eletrocalha 100 x 75 mm (largura x aba)</t>
  </si>
  <si>
    <t>0,210000000</t>
  </si>
  <si>
    <t>Cabo telefônico CTP-APL com 100 pares Ø 0,50 mm</t>
  </si>
  <si>
    <t>15.101.000010.SER</t>
  </si>
  <si>
    <t>!EM PROCESSO DESATIVACAO! ELETRODUTO EM ACO GALVANIZADO ELETROLITICO, LEVE, DIAMETRO 3/4", PAREDE DE 0,90 MM</t>
  </si>
  <si>
    <t>00970/ORSE</t>
  </si>
  <si>
    <t>Fio flexivel 2 x 1,0mm² trançado</t>
  </si>
  <si>
    <t>11890/SINAPI</t>
  </si>
  <si>
    <t>Fio de cobre, flexivel, torcido, classe 4 ou 5, isolacaoem pvc/d, 300 v, 2 condutores de 1,5 mm2</t>
  </si>
  <si>
    <t>16.037.000016.MAT</t>
  </si>
  <si>
    <t>Luminária fluorescente de emergência para 2 lâmpadas de 15 W</t>
  </si>
  <si>
    <t>07548/ORSE</t>
  </si>
  <si>
    <t>09376/ORSE</t>
  </si>
  <si>
    <t>Regulador alta pressão tipo Fisher, 28mm, classe 300, 1º estagio</t>
  </si>
  <si>
    <t>10276/ORSE</t>
  </si>
  <si>
    <t>Regulador de gás RP-21 com manômetro</t>
  </si>
  <si>
    <t>11113/ORSE</t>
  </si>
  <si>
    <t>Registro de fecho rápido 1" NPT</t>
  </si>
  <si>
    <t>REGISTRO OU REGULADOR DE GAS COZINHA, VAZAO DE 2 KG/H, 2,8 KPA</t>
  </si>
  <si>
    <t>11768/ORSE</t>
  </si>
  <si>
    <t>Cilindro de gás B45 cheio</t>
  </si>
  <si>
    <t>11827/ORSE</t>
  </si>
  <si>
    <t>Regulador de gás 2º estágio de 7 kg/h</t>
  </si>
  <si>
    <t>14.006.000045.MAT</t>
  </si>
  <si>
    <t>Registro PVC de esfera soldável Ø 25 mm</t>
  </si>
  <si>
    <t>92276U</t>
  </si>
  <si>
    <t>TUBO EM COBRE RÍGIDO, DN 28 MM, CLASSE E, SEM ISOLAMENTO, INSTALADO EM PRUMADA ? FORNECIMENTO E INSTALAÇÃO. AF_12/2015</t>
  </si>
  <si>
    <t>Tubo de aço galvanizado com costura Ø 4"</t>
  </si>
  <si>
    <t>Tubo de aço galvanizado com costura Ø 6"</t>
  </si>
  <si>
    <t>14.001.000293.MAT</t>
  </si>
  <si>
    <t>Tê 45º de ferro maleável galvanizado Ø 4"</t>
  </si>
  <si>
    <t>14.001.000295.MAT</t>
  </si>
  <si>
    <t>Tê 90º de ferro maleável galvanizado rosca BSP Ø 6"</t>
  </si>
  <si>
    <t>COTOVELO 90 GRAUS DE FERRO GALVANIZADO, COM ROSCA BSP, DE 6"</t>
  </si>
  <si>
    <t>14.006.000043.MAT</t>
  </si>
  <si>
    <t>Válvula de retenção vertical em bronze com portinhola Ø 6"</t>
  </si>
  <si>
    <t>08.01.519.5</t>
  </si>
  <si>
    <t>Bomba centrífuga trifásica Fit 100-065-160r, 30 CV Schneider</t>
  </si>
  <si>
    <t>CHAVE DE PARTIDA DIRETA TRIFASICA, COM CAIXA TERMOPLASTICA, COM FUSIVEL DE 25 A, PARA MOTOR COM POTENCIA DE 7,5 CV E TENSAO DE 380 V</t>
  </si>
  <si>
    <t>CURVA 90 GRAUS, LONGA, DE PVC RIGIDO ROSCAVEL, DE 3/4", PARA ELETRODUTO</t>
  </si>
  <si>
    <t>BUCHA EM ALUMINIO, COM ROSCA, DE 3/4", PARA ELETRODUTO</t>
  </si>
  <si>
    <t>ARRUELA EM ALUMINIO, COM ROSCA, DE 3/4", PARA ELETRODUTO</t>
  </si>
  <si>
    <t>FIO DE COBRE, SOLIDO, CLASSE 1, ISOLACAO EM PVC/A, ANTICHAMA BWF-B, 450/750V, SECAO NOMINAL 4 MM2</t>
  </si>
  <si>
    <t>08.01.519.1U</t>
  </si>
  <si>
    <t>Bomba centrífuga KSB 80/200, motor a diesel 30 HP</t>
  </si>
  <si>
    <t>BOMBA CENTRIFUGA MOTOR ELETRICO TRIFASICO 2,96HP, DIAMETRO DE SUCCAO X ELEVACAO 1 1/2" X 1 1/4", DIAMETRO DO ROTOR 148 MM, HM/Q: 34 M / 14,80 M3/H A 40 M / 8,60 M3/H</t>
  </si>
  <si>
    <t>33.175.000041.EQA</t>
  </si>
  <si>
    <t>Conjunto motor-bomba centrífuga trifásico para recalque de água 7,5 hp h man. 45 m / 25,4 m³/h</t>
  </si>
  <si>
    <t>EQ.AQ.</t>
  </si>
  <si>
    <t>ENERGIA ELETRICA ATE 2000 KWH INDUSTRIAL, SEM DEMANDA</t>
  </si>
  <si>
    <t>KW/H</t>
  </si>
  <si>
    <t>5824U</t>
  </si>
  <si>
    <t>CAMINHÃO TOCO, PBT 16.000 KG, CARGA ÚTIL MÁX. 10.685 KG, DIST. ENTRE EIXOS 4,8 M, POTÊNCIA 189 CV, INCLUSIVE CARROCERIA FIXA ABERTA DE MADEIRA P/ TRANSPORTE GERAL DE CARGA SECA, DIMEN. APROX. 2,5 X 7,00 X 0,50 M - CHP DIURNO. AF_06/2014</t>
  </si>
  <si>
    <t>Laje pré-fabricada steel deck para piso com capa de concreto C25 S50, espessura da laje 15 cm, chapa # 0,95 mm</t>
  </si>
  <si>
    <t>LASTRO DE CONCRETO MAGRO, APLICADO EM PISOS OU RADIERS, ESPESSURA DE 5 CM. AF_07/2016 - CAMADA IMPERMEABILIZADORA</t>
  </si>
  <si>
    <t>PERFIL "I" DE ACO LAMINADO, "W" 152 X 22</t>
  </si>
  <si>
    <t>DIVISORIA EM GRANITO CINZA ANDORINHA POLIDO, ESP = 2,5CM, ASSENTADO COM ARGAMASSA TRACO 1:4, ARREMATE EM CIMENTO BRANCO, EXCLUSIVE FERRAGENS</t>
  </si>
  <si>
    <t>PORTA DE AÇO DE ENROLAR TIPO GRADE, CHAPA 16</t>
  </si>
  <si>
    <t>PORTA GRADE DE ENROLAR MANUAL COMPLETA, PERFIL TUBULAR TIJOLINHO 3/4", EM AÇO GALVANIZADO</t>
  </si>
  <si>
    <t>MAT</t>
  </si>
  <si>
    <t>88627U</t>
  </si>
  <si>
    <t>ARGAMASSA TRAÇO 1:0,5:4,5 (EM VOLUME DE CIMENTO, CAL E AREIA MÉDIA ÚMIDA)</t>
  </si>
  <si>
    <t>GRADIL MÓVEL  EM TUBOS DE ACO GALVANIZADO COM COSTURA, DIN 2440, DIAMETRO 2", ALTURA 2,20M, BATENTES FIXADOS  EM BLOCOS DE CONCRETO, FECHAMENTO COM TELA DE ARAME GALVANIZADO REVESTIDO COM PVC, FIO 12 BWG E MALHA 7,5X7,5CM</t>
  </si>
  <si>
    <t>TUBO DE AÇO GALVANIZADO COM COSTURA, CLASSE MEDIA, DN 2", E=3,65MM</t>
  </si>
  <si>
    <t>SUPORTE GUIA SIMPLES COM ROLDANA DE POLIPROPILENO 2.1/2"</t>
  </si>
  <si>
    <t>ARAME GALVANIZADO 12 BWG, 2,76 MM (0,048 KG/M)</t>
  </si>
  <si>
    <t>TELA DE ARAME GALVANIZADO REVESTIDO EM PVC, QUADRANGULAR/LOSANGULAR, FIO 2,77MM (12 BWG), BITOLA FINAL 3,8MM, MALHA 7,5X7,5 CM</t>
  </si>
  <si>
    <t>PREGO DE AÇO POLIDO 18X30 (2 3/4X10)</t>
  </si>
  <si>
    <t>TABUA DE MADEIRA NAO APARELHADA 12X30 CM</t>
  </si>
  <si>
    <t>CONCRETO FCK=20 MPA, TRAÇO 1:2,7:3 (CIMNTO/AREIA/BRITA)</t>
  </si>
  <si>
    <t>88261U</t>
  </si>
  <si>
    <t>CARPINTEIRO COM ENCARGOS COMPLEMENTARES</t>
  </si>
  <si>
    <t>CX-01 (6,05x2,85) - Esquadrias com perfis estruturantes e caixilhos em aço</t>
  </si>
  <si>
    <t>CX-02 (3,89x2,85) - Esquadrias com perfis estruturantes e caixilhos em aço</t>
  </si>
  <si>
    <t>CX-03 (3,82x2,85) - Esquadrias com perfis estruturantes e caixilhos em aço</t>
  </si>
  <si>
    <t>CX-04 (6,07x2,85) - Esquadrias com perfis estruturantes e caixilhos em aço</t>
  </si>
  <si>
    <t>CX-05 (6,07x2,85) - Esquadrias com perfis estruturantes e caixilhos em aço</t>
  </si>
  <si>
    <t>CX-06 (2,94x2,85) - Esquadrias com perfis estruturantes e caixilhos em aço</t>
  </si>
  <si>
    <t>CX-07 (4,34x2,85) - Esquadrias com perfis estruturantes e caixilhos em aço</t>
  </si>
  <si>
    <t>CX-08 (4,11x2,85) - Esquadrias com perfis estruturantes e caixilhos em aço</t>
  </si>
  <si>
    <t>GRADIL DE AÇO GALVANIZADO, MONTANTES TUBULARES ESPAÇADOS DE 1,25M E TRAVESSA INFERIOR, INTERMEDIÁRIA E SUPERIOR DE 1.1/2" , TELA GALVANIZADA REVESTIDA EM PVC, MALHA 7,5X7,5 CM FIO #14 BWG, FIXADO COM CHUMBADOR MECÂNICO.</t>
  </si>
  <si>
    <t>ALAMBRADO EM TUBOS DE ACO GALVANIZADO, COM COSTURA, DIN 2440, DIAMETRO 2", ALTURA 3M, FIXADOS A CADA 2M EM BLOCOS DE CONCRETO, COM TELA DE ARAME GALVANIZADO REVESTIDO COM PVC, FIO 12 BWG E MALHA 7,5X7,5CM</t>
  </si>
  <si>
    <t>ARAME GALVANIZADO 14 BWG, D=2,11 MM (0,026 KG/M)</t>
  </si>
  <si>
    <t>ALAMBRADO EM TUBOS DE ACO GALVANIZADO, COM COSTURA, DIN 2440, DIAMETRO 2", ALTURA 2M, FIXADOS A CADA 2M EM BLOCOS DE CONCRETO, COM TELA DE ARAME GALVANIZADO REVESTIDO COM PVC, FIO 12 BWG E MALHA 7,5X7,5CM</t>
  </si>
  <si>
    <t>TE DE FERRO GALVANIZADO DE 2"</t>
  </si>
  <si>
    <t>04.01.417</t>
  </si>
  <si>
    <t>Fechamento lateral em vidro</t>
  </si>
  <si>
    <t>Fechamento lateral em vidro Aramado</t>
  </si>
  <si>
    <t>267,50</t>
  </si>
  <si>
    <t>VIDRO ARAMADO, ESPESSURA 7MM</t>
  </si>
  <si>
    <t>PINTURA ESMALTE FOSCO (2 DEMAOS) SOBRE SUPERFICIE METALICA, INCLUSIVE PROTECAO COM ZARCAO (1 DEMAO)</t>
  </si>
  <si>
    <t>PREPARO DE SUPERFÍCIE P/ IMPERMEABILIZAÇÃO, ESPESSURA MÉDIA 13,5CM.EM ARGAMASSA TRAÇO 1::2:4 (CIMENTO, AREIA, VERMICULITA), PREPARO MECÂNICO COM BETONEIRA 400 L</t>
  </si>
  <si>
    <t>PREPARO DE SUPERFÍCIE P/ IMPERMEABILIZAÇÃO, ESPESSURA MÉDIA 7,5CM.EM ARGAMASSA TRAÇO 1::2:4 (CIMENTO, AREIA, VERMICULITA), PREPARO MECÂNICO COM BETONEIRA 400 L</t>
  </si>
  <si>
    <t>AREIA GROSSA</t>
  </si>
  <si>
    <t>ARGILA EXPANDIDA SUPER FINA VERMICULITA</t>
  </si>
  <si>
    <t>BANCADA DE COPAS, LABORATÓRIOS, SECRETARIA E GUARITA EM GRANITO CINZA POLIDO COM ESPELHO 10CM, LARGURA = 60CM, EXCETO CUBA</t>
  </si>
  <si>
    <t>BANCADA DE AÇO INOXIDÁVEL  AISI 304, 2,10 x 0,60 m, COM ESPELHO 10CM, COM 1 CUBA 52X40X23 CM</t>
  </si>
  <si>
    <t>BANCADA DE AÇO INOXIDÁVEL  AISI 304, 2,75 x 0,60 m, COM ESPELHO 10CM, COM 1 CUBA 75X55X45 CM</t>
  </si>
  <si>
    <t>BANCADA DE AÇO INOXIDÁVEL  AISI 304, 2,70 x 0,60 m, COM ESPELHO 10CM, COM 1 CUBA 52X40X23 CM</t>
  </si>
  <si>
    <t>BANCADA DE AÇO INOXIDÁVEL  AISI 304, 3,25 x 0,60 m, COM ESPELHO 10CM, COM 5 CUBA REMOVÍVEIS 52X40X40 CM</t>
  </si>
  <si>
    <t>BANCADA DE AÇO INOXIDÁVEL  AISI 304, 5,50 x 0,60 m, COM ESPELHO 10CM, COM 2 CUBA 52X40X23 CM</t>
  </si>
  <si>
    <t>BANCADA DE COPA, LABORATÓRIOS, SECRETARIA E GUARITA EM GRANITO CINZA POLIDO COM ESPELHO 10CM, LARGURA = 60CM , EXCETO CUBA</t>
  </si>
  <si>
    <t>15.002.03</t>
  </si>
  <si>
    <t>BANCADA DE AÇO INOXIDÁVEL  AISI 304, COM ESPELHO 10CM, BORDAS DE ESTANQUEIDADE E VIROLA 2,5 CM (CHAPA 1000X3000MM)</t>
  </si>
  <si>
    <t>CUBA AÇO INOXIDÁVEL AISI 304 52X40X23 CM</t>
  </si>
  <si>
    <t>CONCRETO MAGRO 1:4,5:4,5 (CIMENTO, AREIA, PEDRISCO)</t>
  </si>
  <si>
    <t>SOLDA DE TOPO EM CHAPA/TUBO DE AÇO CHANFRADO</t>
  </si>
  <si>
    <t>CUBA AÇO INOXIDÁVEL AISI 304 75X55X45 CM</t>
  </si>
  <si>
    <t>CUBA AÇO INOXIDÁVEL AISI 304 52X40X40 CM</t>
  </si>
  <si>
    <t>Torneira cromada de mesa, com filtro, para pia de cozinha, ref.1140 - Twin, Deca ou equivalente</t>
  </si>
  <si>
    <t>Barra de apoio, para vaso sanitário, angular, 90º, piso-parede, direita ou esquerda, em aço inox, l=75+75cm, d=1 1/2", Jackwal ou equivalente</t>
  </si>
  <si>
    <t>RAMPA DE ACESSO DESTINADA A PNE, REVESTIDA COM PISO PODOTÁTIL DE ALERTA/ LADRILHO HIDRÁLICO 25X25CM</t>
  </si>
  <si>
    <t>PISO PODOTÁTIL DE ALERTA</t>
  </si>
  <si>
    <t>ESPAÇADOR PLASTICO</t>
  </si>
  <si>
    <t>GUIA PREMOLDADA DE CONCRETO 0,15X0,30X1,00M</t>
  </si>
  <si>
    <t>ARGAMASSA MISTA DE CIMENTO E AREIA, TRAÇO 1:1:4</t>
  </si>
  <si>
    <t>TELA DE AÇO CA60 Q92 D=4.2MM, MALHA 15X15CM</t>
  </si>
  <si>
    <t>ARMADOR</t>
  </si>
  <si>
    <t>LADRILHISTA</t>
  </si>
  <si>
    <t>PEDREIRO</t>
  </si>
  <si>
    <t>SERVENTE DE ELETRICISTA COM ENCARGOS COMPLEMENTARES</t>
  </si>
  <si>
    <t>LUMINÁRIAS TIPO CALHA, DE SOBREPOR, COM REATORES DE PARTIDA RÁPIDA E LÂMPADAS FLUORESCENTES 2X36W, COMPLETAS, FORNECIMENTO E INSTALAÇÃO</t>
  </si>
  <si>
    <t>07.02.000</t>
  </si>
  <si>
    <t>Ar Condicionado</t>
  </si>
  <si>
    <t>07.02.300</t>
  </si>
  <si>
    <t>Rede de Dutos</t>
  </si>
  <si>
    <t>97332U</t>
  </si>
  <si>
    <t>TUBO EM COBRE FLEXÍVEL, DN 3/8", COM ISOLAMENTO, INSTALADO EM RAMAL DE ALIMENTAÇÃO DE AR CONDICIONADO COM CONDENSADORA CENTRAL ? FORNECIMENTO E INSTALAÇÃO. AF_12/2015</t>
  </si>
  <si>
    <t>97334U</t>
  </si>
  <si>
    <t>TUBO EM COBRE FLEXÍVEL, DN 5/8", COM ISOLAMENTO, INSTALADO EM RAMAL DE ALIMENTAÇÃO DE AR CONDICIONADO COM CONDENSADORA CENTRAL FORNECIMENTO E INSTALAÇÃO. AF_12/2015</t>
  </si>
  <si>
    <t>TOTAL DO ITEM 07.02.000</t>
  </si>
  <si>
    <t xml:space="preserve">Ponto de consumo de gás combustível </t>
  </si>
  <si>
    <t>AJUDANTE DE ENCANADOR COM ENCARGOS COMPLEMENTARES</t>
  </si>
  <si>
    <t>ENCANADOR COM ENCARGOS COMPLEMENTARES</t>
  </si>
  <si>
    <t>ADAPTADOR FIXO ROSCA MACHO PEX GÁS D=32MM X 1"</t>
  </si>
  <si>
    <t>JOELHO 90° ROSCA FEMEA PEX GÁS D=32MM</t>
  </si>
  <si>
    <t>LUVA PEX GÁS D=32MM</t>
  </si>
  <si>
    <t>VÁLVULA DE SEGURANÇA HORIZONTAL DE FLUXO/TÉRMICA PEX GÁS</t>
  </si>
  <si>
    <t>2. É de inteira responsabilidade da licitante proponente o levantamento e quantificação dos materiais/serviços dos projetos, bem como, os custos necessários à execução do objeto do Edital.</t>
  </si>
  <si>
    <t>Torneira de mesa, linha Decamatic Eco, ref.1173.C, DECA ou equivalente</t>
  </si>
  <si>
    <t>COMPOSIÇÕES DE PREÇOS UNITÁRIOS</t>
  </si>
  <si>
    <t>OBSERVAÇÕES:</t>
  </si>
  <si>
    <t>RALO LINEAR AÇO INOXIDÁVEL 430, 3,5x6x100CM, ACABAMENTO POLIDO</t>
  </si>
  <si>
    <t>05.03.300.11U</t>
  </si>
  <si>
    <t>Ralo linear em aço inox 430, 8,4x100cm, acabamento polido</t>
  </si>
  <si>
    <t>0,050000</t>
  </si>
  <si>
    <t>0,070000</t>
  </si>
  <si>
    <t>0,250000</t>
  </si>
  <si>
    <t>SISTEMA DE RETENÇÃO DE ÁGUAS PLUVIAIS, CAPACIDADE= 160 M3</t>
  </si>
  <si>
    <t>ADAPTADOR PVC SOLDAVEL, COM FLANGES E ANEL DE VEDACAO, 60 MM X 2", PARA CAIXA D AGUA</t>
  </si>
  <si>
    <t>BOMBA SUBMERSIVEL, ELETRICA, TRIFASICA, POTENCIA 0,99 HP, DIAMETRO ROTOR 98 MM SEMIABERTO, BOCAL DE SAIDA DIAMETRO 2 POLEGADAS, HM/Q = 2 M / 28,90 M3/H A 14 M / 7 M3/H</t>
  </si>
  <si>
    <t>TORNEIRA DE BOIA CONVENCIONAL PARA CAIXA DAGUA, 2", COM HASTE E TORNEIRA METALICOS E BALAO PLASTICO</t>
  </si>
  <si>
    <t>0,450000</t>
  </si>
  <si>
    <t>7.168,000000</t>
  </si>
  <si>
    <t>96525U</t>
  </si>
  <si>
    <t>ESCAVAÇÃO MECANIZADA PARA VIGA BALDRAME, COM PREVISÃO DE FÔRMA, COM MINI-ESCAVADEIRA. AF_06/2017</t>
  </si>
  <si>
    <t>TUBO PVC, SOLDAVEL, DN 110 MM, AGUA FRIA (NBR-5648)</t>
  </si>
  <si>
    <t>TRINCHEIRA FILTRANTE 2,15 X 0,85 M</t>
  </si>
  <si>
    <t>0,560000</t>
  </si>
  <si>
    <t>TUBO DRENO, CORRUGADO, ESPIRALADO, FLEXIVEL, PERFURADO, EM POLIETILENO DE ALTA DENSIDADE (PEAD), DN *160* MM, (6") PARA DRENAGEM - EM BARRA (NORMA DNIT 093/2006 - EM)</t>
  </si>
  <si>
    <t>0,750000</t>
  </si>
  <si>
    <t>PONTO DE INSPEÇÃO DE TRINCHEIRA FILTRANTE DN=0,78M</t>
  </si>
  <si>
    <t>0,160000</t>
  </si>
  <si>
    <t>Formas de tábuas de pinho para dispositivos de drenagem - utilização de 3 vezes - confecção, instalação e retirada</t>
  </si>
  <si>
    <t>0,800000</t>
  </si>
  <si>
    <t>CAIXA DE GORDURA EM PVC, DIAMETRO MINIMO 300 MM, DIAMETRO DE SAIDA 100 MM, CAPACIDADE APROXIMADA 18 LITROS, COM TAMPA</t>
  </si>
  <si>
    <t>0,500000</t>
  </si>
  <si>
    <t>ARMAÇÃO DE LAJES DE CONCRETO EXECUTADA EM TELA Q-92.</t>
  </si>
  <si>
    <t>Canaleta para águas pluviais em concreto moldado in-loco 0,9 x 0,4 m</t>
  </si>
  <si>
    <t>Ajudante de carpinteiro</t>
  </si>
  <si>
    <t>0,530000</t>
  </si>
  <si>
    <t>0,090000</t>
  </si>
  <si>
    <t>0,260000</t>
  </si>
  <si>
    <t>GRELHA EM FERRO FUNDIDO SIMPLES COM REQUADRO, CARGA MÁXIMA 12,5 T, 300 X 1000 MM, E = 15 MM, FORNECIDA E ASSENTADA COM ARGAMASSA 1:4 CIMENTO:AREIA.</t>
  </si>
  <si>
    <t>GRELHA FOFO SIMPLES COM REQUADRO, CARGA MAXIMA 12,5 T, *300 X 1000* MM, E= *15* MM, AREA ESTACIONAMENTO CARRO PASSEIO</t>
  </si>
  <si>
    <t>0,008000</t>
  </si>
  <si>
    <t>73788/2U</t>
  </si>
  <si>
    <t>GRADE DE MADEIRA PARA PROTEÇÃO DE MUDAS DE ARVORE</t>
  </si>
  <si>
    <t>98511U</t>
  </si>
  <si>
    <t>PLANTIO DE ÁRVORE ORNAMENTAL COM ALTURA DE MUDA MAIOR QUE 2,00 M E MENOR OU IGUAL A 4,00 M. AF_05/2018</t>
  </si>
  <si>
    <t>Bandeja em chapa de aço galvanizado liso # 18 MSG, tipo "U", largura 500 mm x altura 50 mm, instalação superior</t>
  </si>
  <si>
    <t>CHAPA DE ACO FINA A QUENTE BITOLA MSG 18, E = 1,20 MM (9,60 KG/M2)</t>
  </si>
  <si>
    <t xml:space="preserve">Lâmpada tubular LED T8 120cm 4000K 1850 LM 18W </t>
  </si>
  <si>
    <t>REATOR ELETRONICO BIVOLT PARA 1 LAMPADA FLUORESCENTE DE 18/20 W</t>
  </si>
  <si>
    <t>SOQUETE DE BAQUELITE BASE E27, PARA LAMPADAS</t>
  </si>
  <si>
    <t>LAMPADA FLUORESCENTE TUBULAR T8 DE 16/18 W, BIVOLT</t>
  </si>
  <si>
    <t>ABRACADEIRA EM ACO PARA AMARRACAO DE ELETRODUTOS, TIPO D, COM 1 1/2" E PARAFUSO DE FIXACAO</t>
  </si>
  <si>
    <t>Composição 01.01.000.001</t>
  </si>
  <si>
    <t>Ajudante especializado</t>
  </si>
  <si>
    <t>Composição 02.01.200.001</t>
  </si>
  <si>
    <t>Auxiliar de encanador</t>
  </si>
  <si>
    <t>Tijolo cerâmico comum para alvenaria 5 x 10 x 20 cm</t>
  </si>
  <si>
    <t>Hidrômetro unijato para medição em entrada de água residencial Ø 3/4" vazão 5 m³/h</t>
  </si>
  <si>
    <t xml:space="preserve">Mictório sifonado de louça branca </t>
  </si>
  <si>
    <t>Prego dde aço com cabeça 15 x 15</t>
  </si>
  <si>
    <t>Composição 02.01.200.002</t>
  </si>
  <si>
    <t>Composição 02.01.200.003</t>
  </si>
  <si>
    <t>Caminhão basculante 6 m³ 185 hp - 136 kW, 4 x 2</t>
  </si>
  <si>
    <t>Composição 02.01.200.004</t>
  </si>
  <si>
    <t>Tubo de polietileno de alta densidade PE80 Ø externo 63 mm, classe de pressão 10 kgf/cm²</t>
  </si>
  <si>
    <t>Cavalete com tubo de aço galvanizado 32 mm - 3/4"</t>
  </si>
  <si>
    <t>Composição 02.04.000.001</t>
  </si>
  <si>
    <t>Composição  02.04.000.002</t>
  </si>
  <si>
    <t>Composição 03.01.427.001</t>
  </si>
  <si>
    <t>Composição 03.01.427.002</t>
  </si>
  <si>
    <t>Composição  03.01.427.003</t>
  </si>
  <si>
    <t>Composição 03.01.427.004</t>
  </si>
  <si>
    <t>Composição  03.01.427.005</t>
  </si>
  <si>
    <t>Composição 03.01.504.001</t>
  </si>
  <si>
    <t>Composição 03.02.123.001</t>
  </si>
  <si>
    <t>Composição 03.02.134.001</t>
  </si>
  <si>
    <t xml:space="preserve">Concreto usinado dosado em central C25 </t>
  </si>
  <si>
    <t>Tela de aço CA-60 soldada Q 92, Ø 4,20 mm, malha 15 x 15 cm, 1,48 kg/m²</t>
  </si>
  <si>
    <t>Composição 03.02.134.002</t>
  </si>
  <si>
    <t>Composição 03.02.173.001</t>
  </si>
  <si>
    <t>Composição  03.02.430.001</t>
  </si>
  <si>
    <t>Composição  03.02.430.002</t>
  </si>
  <si>
    <t>Composição 03.03.100.001</t>
  </si>
  <si>
    <t>ESTRUTURA METALICA EM ACO ESTRUTURAL PERFIL "I" 6"X3.3/8"</t>
  </si>
  <si>
    <t>Composição 03.03.100.002</t>
  </si>
  <si>
    <t>Composição 04.01.104.001</t>
  </si>
  <si>
    <t xml:space="preserve">Argamassa traço 1:1:6 mista de cimento, cal e areia </t>
  </si>
  <si>
    <t>Composição  04.01.114.001</t>
  </si>
  <si>
    <t>Composição  04.01.114.002</t>
  </si>
  <si>
    <t>Composição 04.01.120.001</t>
  </si>
  <si>
    <t>Composição 04.01.201.001</t>
  </si>
  <si>
    <t>Porta Metálica de abrir, com perfis estruturantes e caixilhos de aço, fechamento em chapa fina dobrada</t>
  </si>
  <si>
    <t>Composição 04.01.201.002</t>
  </si>
  <si>
    <t>Porta Metálica de abrir, com perfis estruturantes e caixilhos de aço, fechamento em chapa fina dobrada, com isolamento acústico</t>
  </si>
  <si>
    <t>Composição 04.01.201.003</t>
  </si>
  <si>
    <t>Composição 04.01.201.004</t>
  </si>
  <si>
    <t>ALCAPAO EM FERRO 60X60CM, INCLUSO FERRAGENS</t>
  </si>
  <si>
    <t>Composição 04.01.204.001</t>
  </si>
  <si>
    <t>TABUA DE MADEIRA NAO APARELHADA 2,5x20 CM</t>
  </si>
  <si>
    <t>Composição 04.01.211.001</t>
  </si>
  <si>
    <t>Composição 04.01.211.002</t>
  </si>
  <si>
    <t>Composição 04.01.211.003</t>
  </si>
  <si>
    <t>Composição 04.01.211.004</t>
  </si>
  <si>
    <t>04.01.211.005</t>
  </si>
  <si>
    <t>Composição 04.01.211.006</t>
  </si>
  <si>
    <t>Composição 04.01.211.007</t>
  </si>
  <si>
    <t>Composição 04.01.211.008</t>
  </si>
  <si>
    <t>Composição 04.01.211.009</t>
  </si>
  <si>
    <t>Composição 04.01.211.010</t>
  </si>
  <si>
    <t>Composição 04.01.211.011</t>
  </si>
  <si>
    <t>Compposição 04.01.211.012</t>
  </si>
  <si>
    <t>Composição 04.01.211.013</t>
  </si>
  <si>
    <t>Composição 04.01.211.014</t>
  </si>
  <si>
    <t>Composição 04.01.211.015</t>
  </si>
  <si>
    <t>Composição 04.01.211.016</t>
  </si>
  <si>
    <t>Composição 04.01.211.017</t>
  </si>
  <si>
    <t>Composição 04.01.212.001</t>
  </si>
  <si>
    <t>Composição 04.01.212.002</t>
  </si>
  <si>
    <t>Composição 04.01.212.003</t>
  </si>
  <si>
    <t>Composição 04.01.212.004</t>
  </si>
  <si>
    <t>Composição 04.01.213.001</t>
  </si>
  <si>
    <t xml:space="preserve">ORSE -3544 </t>
  </si>
  <si>
    <t>ARAME GALVANIZADO 12 BWG, D=3,4 MM (0,0713 KG/M)</t>
  </si>
  <si>
    <t>Composição 04.01.213.002</t>
  </si>
  <si>
    <t>Composição 04.01.241.001</t>
  </si>
  <si>
    <t>Composição 04.01.241.002</t>
  </si>
  <si>
    <t>Composição 04.01.250.003</t>
  </si>
  <si>
    <t>04.01.250</t>
  </si>
  <si>
    <t>Composição  04.01.303.001</t>
  </si>
  <si>
    <t>Composição  04.01.303.002</t>
  </si>
  <si>
    <t>Composição  04.01.303.003</t>
  </si>
  <si>
    <t>Composição 04.01.311.001</t>
  </si>
  <si>
    <t>Composição 04.01.417.001</t>
  </si>
  <si>
    <t>Composição 04.01.510.001</t>
  </si>
  <si>
    <t>Composição 04.01.530.001</t>
  </si>
  <si>
    <t>Composição 04.01.560.001</t>
  </si>
  <si>
    <t>Composição  04.01.560.002</t>
  </si>
  <si>
    <t>Composição  04.01.560.003</t>
  </si>
  <si>
    <t>Composição 04.01.580.001</t>
  </si>
  <si>
    <t>Composição 04.01.600.001</t>
  </si>
  <si>
    <t>Composição 04.01.600.002</t>
  </si>
  <si>
    <t>Impermeabilizador</t>
  </si>
  <si>
    <t>Composição 04.01.600.003</t>
  </si>
  <si>
    <t>Composição 04.01.600.004</t>
  </si>
  <si>
    <t>Composição 04.01.600.005</t>
  </si>
  <si>
    <t>Composição 04.01.600.006</t>
  </si>
  <si>
    <t>Impermeabilização com manta asfáltica, uma camada e=3mm, inclusive primer asfáltico</t>
  </si>
  <si>
    <t>Cimento CPII-32</t>
  </si>
  <si>
    <t xml:space="preserve">Papel kraft betumado </t>
  </si>
  <si>
    <t>Composição 04.01.701.001</t>
  </si>
  <si>
    <t>Composição 04.01.703.001</t>
  </si>
  <si>
    <t>Composição 04.01.703.002</t>
  </si>
  <si>
    <t>Composição 04.01.800.001</t>
  </si>
  <si>
    <t>BANCADA DE SANITÁRIOS EM GRANITO CINZA POLIDO PARA LAVATÓRIO, LARGURA = 50CM, ESPELHO E FRONTISPÍCIO = 12CM, EXCETO CUBA</t>
  </si>
  <si>
    <t>Composição 04.01.800.002</t>
  </si>
  <si>
    <t>Composição 04.01.800.003</t>
  </si>
  <si>
    <t>Composição 04.01.800.004</t>
  </si>
  <si>
    <t>Composição 04.01.800.005</t>
  </si>
  <si>
    <t>Composição 04.01.800.006</t>
  </si>
  <si>
    <t>Composição 04.01.800.007</t>
  </si>
  <si>
    <t>Composição 04.05.102.001</t>
  </si>
  <si>
    <t>Composição  04.05.610.001</t>
  </si>
  <si>
    <t>PEDRA BRITA N.1</t>
  </si>
  <si>
    <t>CIMENTO CPII 32</t>
  </si>
  <si>
    <t>ARAME RECOZIDO 16 BWG</t>
  </si>
  <si>
    <t xml:space="preserve">SERVENTE </t>
  </si>
  <si>
    <t>Composição 05.01.200.001</t>
  </si>
  <si>
    <t>Composição 05.01.200.002</t>
  </si>
  <si>
    <t>Composição 05.01.200.003</t>
  </si>
  <si>
    <t>Composição 05.01.200.004</t>
  </si>
  <si>
    <t>Composição 05.01.500.001</t>
  </si>
  <si>
    <t>Fita de vedação para tubos e conexões, rolo de 50 m x 18 mm</t>
  </si>
  <si>
    <t>Válula em metal cromado para lavatório Ø 1"</t>
  </si>
  <si>
    <t>15.003.000016.MAT</t>
  </si>
  <si>
    <t>Sifão em metal cromado para lavatório Ø 1" x 1 1/2"</t>
  </si>
  <si>
    <t>Misturador cromado de mesa bica para lavatório</t>
  </si>
  <si>
    <t>Composição 05.01.500.002</t>
  </si>
  <si>
    <t>Composição  05.01.600.001</t>
  </si>
  <si>
    <t>AJUDANTE ESPECIALIZADO</t>
  </si>
  <si>
    <t>Composição  05.03.300.001</t>
  </si>
  <si>
    <t>Composição 05.03.300.002</t>
  </si>
  <si>
    <t>Composição 05.03.300.003</t>
  </si>
  <si>
    <t>Composição 05.03.900.001</t>
  </si>
  <si>
    <t>Composição 05.03.900.002</t>
  </si>
  <si>
    <t>Caixa d'agua fibra de vidro para 10.000 litros, com tampa</t>
  </si>
  <si>
    <t>Cola branca base PVA</t>
  </si>
  <si>
    <t>101618U</t>
  </si>
  <si>
    <t>PREPARO DE FUNDO, COM LARGURA MENOR QUE 1,5 M, COM CAMADA DE AREIA, LANÇAMENTO MANUAL, AF_08/2020</t>
  </si>
  <si>
    <t>Composição 05.03.900.003</t>
  </si>
  <si>
    <t>Composição 05.03.900.004</t>
  </si>
  <si>
    <t>94965U</t>
  </si>
  <si>
    <t>Concreto fck = 25 MPa - preparo  em betoneira 400 l, lançamento manual - traço 1:2,3:2,7 (cimento/areia média/brita 1)</t>
  </si>
  <si>
    <t>Composição 05.03.900.005</t>
  </si>
  <si>
    <t>94964U</t>
  </si>
  <si>
    <t>Concreto fck=20MPa, traço 1:2,7:3 (cimento/areia média/brita1) preparo em betoneira 400 l</t>
  </si>
  <si>
    <t>Chapa de madeira compensada resinada 1,10 x 2,20 m # 14 mm</t>
  </si>
  <si>
    <t>Sarrafo 2,5 x 5,0 cm em pinus, mista ou equivalente da região</t>
  </si>
  <si>
    <t>Prego de aço com cabeça 16 x 24 (2 1/4 x 12)</t>
  </si>
  <si>
    <t>Composição 05.03.900.006</t>
  </si>
  <si>
    <t>Composição 05.04.300.001</t>
  </si>
  <si>
    <t>Composição  05.04.300.002</t>
  </si>
  <si>
    <t>Composição  05.04.800.001</t>
  </si>
  <si>
    <t>Composição 06.01.100.001</t>
  </si>
  <si>
    <t>Composição 06.01.104.001</t>
  </si>
  <si>
    <t>Composição 06.01.301.001</t>
  </si>
  <si>
    <t>3622/ORSE</t>
  </si>
  <si>
    <t>DISJUNTOR TERMOMAGNETICO TRIPOLAR  600A / 600V, TIPO JXD / ICC - 40KA</t>
  </si>
  <si>
    <t>Composição 06.01.302.001</t>
  </si>
  <si>
    <t>Composição 06.01.302.002</t>
  </si>
  <si>
    <t>QUADRO DE DISTRIBUICAO COM BARRAMENTO TRIFÁSICO, DE EMBUTIR, EM CHAPA DE AÇO GALVANIZADO, PARA 18 DISJUNTORES DIN 100 A</t>
  </si>
  <si>
    <t>Composição 06.01.302.003</t>
  </si>
  <si>
    <t>QUADRO DE DISTRIBUICAO COM BARRAMENTO TRIFASICO, DE EMBUTIR, EM CHAPA DE AÇO GALVANIZADO, PARA 24 DISJUNTORES DIN, 100 A</t>
  </si>
  <si>
    <t>Composição 06.01.302.004</t>
  </si>
  <si>
    <t>Composição 06.01.302.005</t>
  </si>
  <si>
    <t>Composição 06.01.302.006</t>
  </si>
  <si>
    <t>QUADRO DE DISTRIBUICAO COM BARRAMENTO TRIFÁSICO, DE EMBUTIR, EM CHAPA DE AÇO GALVANIZADO, PARA 32 DISJUNTORES DIN 225 A</t>
  </si>
  <si>
    <t>Composição 06.01.302.007</t>
  </si>
  <si>
    <t>Composição 06.01.302.008</t>
  </si>
  <si>
    <t>Composição  06.01.306.001</t>
  </si>
  <si>
    <t>Composição 06.01.309.001</t>
  </si>
  <si>
    <t>Porca zincada, sextavada Ø 1/4"</t>
  </si>
  <si>
    <t>Arruela lisa zincada Ø 1/4"</t>
  </si>
  <si>
    <t>08955/ORSE</t>
  </si>
  <si>
    <t>Suporte vertical para eletrocalha 75 x 50 mm largura x aba</t>
  </si>
  <si>
    <t>13354/ORSE</t>
  </si>
  <si>
    <t>Tampa de encaixe para eletrocalha aço galvanizado perfurada ou lisa, 75 mm x 3000 mm</t>
  </si>
  <si>
    <t>06905/ORSE</t>
  </si>
  <si>
    <t>Composição 06.01.309.002</t>
  </si>
  <si>
    <t>04112/ORSE</t>
  </si>
  <si>
    <t>03989/ORSE</t>
  </si>
  <si>
    <t>Tampa de encaixe para eletrocalha aço galvanizado perfurada ou lisa, 50 mm x 3000 mm</t>
  </si>
  <si>
    <t>Composição 06.01.309.003</t>
  </si>
  <si>
    <t>13400/ORSE</t>
  </si>
  <si>
    <t>Tampa de encaixe para eletrocalha aço galvanizado perfurada ou lisa, 100 mm x 3000 mm</t>
  </si>
  <si>
    <t>Composição 06.01.309.004</t>
  </si>
  <si>
    <t>03639/ORSE</t>
  </si>
  <si>
    <t>13406/ORSE</t>
  </si>
  <si>
    <t>Tampa de encaixe para eletrocalha aço galvanizado perfurada ou lisa, 150 mm x 3000 mm</t>
  </si>
  <si>
    <t>Composição 06.01.309.005</t>
  </si>
  <si>
    <t>Composição 06.01.401.001</t>
  </si>
  <si>
    <t>Luminária de sobrepor em chapa de aço para 2 lâmpadas de 36W, com aletas, completa (lâmpadas e reator incluso)</t>
  </si>
  <si>
    <t>Composição 06.01.401.002</t>
  </si>
  <si>
    <t>Composição 06.01.401.003</t>
  </si>
  <si>
    <t>Composição 06.01.401.004</t>
  </si>
  <si>
    <t>Composição 06.01.401.005</t>
  </si>
  <si>
    <t>HASTE DE ATERRAMENTO EM ACO COM 3,00 M DE COMPRIMENTO E DN = 5/8", REVESTIDA COM BAIXA CAMADA DE COBRE, SEM CONECTOR</t>
  </si>
  <si>
    <t>Composição 06.02.100.001</t>
  </si>
  <si>
    <t>Caixa de passagem/luz/telofonia, de embutir em chapa de aço galvanizado, dimensões 200 x 200 x 20 cm,</t>
  </si>
  <si>
    <t>Composição 06.02.100.002</t>
  </si>
  <si>
    <t>ARAME RECOZIDO 18 BWG, 1,24 MM (0,009 KG/M)</t>
  </si>
  <si>
    <t>MONTAGEM E DESMONTAGEM DE FÔRMA DE PILARES RETANGULARES E ESTRUTURAS SIMILARES, PÉ-DIREITO SIMPLES, EM MADEIRA SERRADA, 2 UTILIZAÇÕES. AF_12/2015</t>
  </si>
  <si>
    <t>Composição 06.02.100.003</t>
  </si>
  <si>
    <t>Composição 06.02.300.001</t>
  </si>
  <si>
    <t>03637/ORSE</t>
  </si>
  <si>
    <t>Tampa de encaixe para eletrocalha aço galvanizado perfurada ou lisa, 100 x 3000 mm</t>
  </si>
  <si>
    <t>Composição 06.02.300.002</t>
  </si>
  <si>
    <t>Composição 06.02.400.001</t>
  </si>
  <si>
    <t>Composição 06.03.100.001</t>
  </si>
  <si>
    <t>Caixa de passagem/ luz/ telefonia, de embutir, em chapa de aço galvanizado 60x60x12 cm, (padrão concessionária local)</t>
  </si>
  <si>
    <t>Composição 06.03.400.001</t>
  </si>
  <si>
    <t>Composição 06.03.400.002</t>
  </si>
  <si>
    <t>Composição 06.03.600.001</t>
  </si>
  <si>
    <t>Composição 07.07.000.001</t>
  </si>
  <si>
    <t>Pig Tail ou chicote flexível de cobre, B-190, para condução de gás</t>
  </si>
  <si>
    <t>Composição 07.07.000.002</t>
  </si>
  <si>
    <t>Composição 07.07.000.003</t>
  </si>
  <si>
    <t>Composição 08.01.200.001</t>
  </si>
  <si>
    <t>Composição 08.01.200.002</t>
  </si>
  <si>
    <t>Composição 08.01.200.003</t>
  </si>
  <si>
    <t>Composição 08.01.200.004</t>
  </si>
  <si>
    <t>JOELHO 90º, FERRO  GALVANIZADO 6" - FORNECIMENTO E INSTALAÇÃO</t>
  </si>
  <si>
    <t>FITA VEDA ROSCA EM ROLOS DE 18MM X 50M</t>
  </si>
  <si>
    <t>FUNDO ANTICORROSIVO (ZARCÃO)</t>
  </si>
  <si>
    <t>Composição 08.01.510.001</t>
  </si>
  <si>
    <t>Composição 08.01.519.001</t>
  </si>
  <si>
    <t>Composição 08.01.519.002</t>
  </si>
  <si>
    <t>Composição 08.01.519.003</t>
  </si>
  <si>
    <t>Composição 08.01.519.004</t>
  </si>
  <si>
    <t>Composição 09.06.000.001</t>
  </si>
  <si>
    <t>Composição  09.06.000.002</t>
  </si>
  <si>
    <t>08978/ORSE</t>
  </si>
  <si>
    <t>Água - consumo em volume</t>
  </si>
  <si>
    <t>Composição 09.03.000.001</t>
  </si>
  <si>
    <t>Fita veda rosca em rolos de 18 mm x 50 m</t>
  </si>
  <si>
    <t>Composição  10.04.000.001</t>
  </si>
  <si>
    <t>03.01.427.002</t>
  </si>
  <si>
    <t>Composição 02.04.000.002</t>
  </si>
  <si>
    <t xml:space="preserve">5502172 - SICRO </t>
  </si>
  <si>
    <t>Composição 03.01.427.003</t>
  </si>
  <si>
    <t>Composição 03.01.427.005</t>
  </si>
  <si>
    <t>Composição 03.02.430.001</t>
  </si>
  <si>
    <t>Composição 03.02.430.002</t>
  </si>
  <si>
    <t>Composição 04.01.114.001</t>
  </si>
  <si>
    <t>Composição 04.01.114.002</t>
  </si>
  <si>
    <t>Composição 04.01.211.005</t>
  </si>
  <si>
    <t>Composição 04.01.211.012</t>
  </si>
  <si>
    <t>Composição 04.01.241.003</t>
  </si>
  <si>
    <t>Composição 04.01.303.001</t>
  </si>
  <si>
    <t>Composição 04.01.303.002</t>
  </si>
  <si>
    <t>Composição 04.01.303.003</t>
  </si>
  <si>
    <t>Composição 04.01.560.002</t>
  </si>
  <si>
    <t>Composição 04.01.560.003</t>
  </si>
  <si>
    <t>5502172 - SICRO</t>
  </si>
  <si>
    <t>4011276 - SICRO</t>
  </si>
  <si>
    <t>Composição 04.05.610.001</t>
  </si>
  <si>
    <t>5213408 - SICRO</t>
  </si>
  <si>
    <t>5213435 - SICRO</t>
  </si>
  <si>
    <t>5214003 - SICRO</t>
  </si>
  <si>
    <t>Composição 005.01.500.001</t>
  </si>
  <si>
    <t>Composição 005.01.500.002</t>
  </si>
  <si>
    <t>Composição 05.01.600.001</t>
  </si>
  <si>
    <t>Composição 05.03.300.001</t>
  </si>
  <si>
    <t>Composição 05.04.300.002</t>
  </si>
  <si>
    <t>Composição 05.04.800.001</t>
  </si>
  <si>
    <t>Composição 06.01.306.001</t>
  </si>
  <si>
    <t>Composição 06.01.404.001</t>
  </si>
  <si>
    <t>Composição 06.01.500.001</t>
  </si>
  <si>
    <t>Composição 06.01.500.002</t>
  </si>
  <si>
    <t>09298/ORSE</t>
  </si>
  <si>
    <t>Cabo coaxial rgc 75 ohms</t>
  </si>
  <si>
    <t>Composição 08.01.200.005</t>
  </si>
  <si>
    <t>Composição 09.06.000.002</t>
  </si>
  <si>
    <t>02450/ORSE</t>
  </si>
  <si>
    <t>Composição 10.04.000.001</t>
  </si>
  <si>
    <t>92423U</t>
  </si>
  <si>
    <t>101980U</t>
  </si>
  <si>
    <t>101747U</t>
  </si>
  <si>
    <t>PISO EM CONCRETO 20 MPA PREPARO MECÂNICO, ESPESSURA 7 CM</t>
  </si>
  <si>
    <t>102215U</t>
  </si>
  <si>
    <t>PINTURA COM VERNIZ (INCOLOR) POLIURETÂNICO , 2 DEMAOS</t>
  </si>
  <si>
    <t>100576U</t>
  </si>
  <si>
    <t>Chuveiro elétrico jet master (Lorenzetti ou similar), 220 V- 5400 W</t>
  </si>
  <si>
    <t>102137U</t>
  </si>
  <si>
    <t>90694U</t>
  </si>
  <si>
    <t>90695U</t>
  </si>
  <si>
    <t>90696U</t>
  </si>
  <si>
    <t>90697U</t>
  </si>
  <si>
    <t>TUBO DE PVC PARA REDE COLETORA DE ESGOTO DE PAREDE MACIÇA, DN 100 MM, JUNTA ELÁSTICA,  FORNECIMENTO E ASSENTAMENTO. AF_06/2015</t>
  </si>
  <si>
    <t>TUBO DE PVC PARA REDE COLETORA DE ESGOTO DE PAREDE MACIÇA, DN 150 MM, JUNTA ELÁSTICA,  FORNECIMENTO E ASSENTAMENTO. AF_06/2015</t>
  </si>
  <si>
    <t>TUBO DE PVC PARA REDE COLETORA DE ESGOTO DE PAREDE MACIÇA, DN 200 MM, JUNTA ELÁSTICA,  FORNECIMENTO E ASSENTAMENTO. AF_06/2015</t>
  </si>
  <si>
    <t>TUBO DE PVC PARA REDE COLETORA DE ESGOTO DE PAREDE MACIÇA, DN 250 MM, JUNTA ELÁSTICA,  FORNECIMENTO E ASSENTAMENTO. AF_06/2015</t>
  </si>
  <si>
    <t>101799U</t>
  </si>
  <si>
    <t>101798U</t>
  </si>
  <si>
    <t>100561U</t>
  </si>
  <si>
    <t>100560U</t>
  </si>
  <si>
    <t>97535U</t>
  </si>
  <si>
    <t>101916U</t>
  </si>
  <si>
    <t>101909U</t>
  </si>
  <si>
    <t>101917U</t>
  </si>
  <si>
    <t>GOVERNO DO DISTRITO FEDERAL</t>
  </si>
  <si>
    <t>BDI EDIFICAÇÕES</t>
  </si>
  <si>
    <t>SECRETARIA DE ESTADO DE EDUCAÇÃO</t>
  </si>
  <si>
    <t>DIRETORIA DE ARQUITETURA</t>
  </si>
  <si>
    <t>OBRA: CENTRO EDUCACIONAL CRIXÁ</t>
  </si>
  <si>
    <t>LOCAL: Avenida Crixá, Lote 06, Bairro Crixá - São Sebastião / DF</t>
  </si>
  <si>
    <t>ÁREA CONSTRUÇÃO: 7.763,17 m²</t>
  </si>
  <si>
    <t>PLANILHA DE CUSTOS</t>
  </si>
  <si>
    <t>ITEM</t>
  </si>
  <si>
    <t>UNID.</t>
  </si>
  <si>
    <t>PREÇO UNIT (R$)</t>
  </si>
  <si>
    <t>PLANILHA ESTIMATIVA DOS SERVIÇOS (NÃO DESONERADO)</t>
  </si>
  <si>
    <t>02.01.101</t>
  </si>
  <si>
    <t>02.01.102</t>
  </si>
  <si>
    <t>02.01.103</t>
  </si>
  <si>
    <t>02.01.104</t>
  </si>
  <si>
    <t>02.01.105</t>
  </si>
  <si>
    <t>02.01.106</t>
  </si>
  <si>
    <t>02.01.107</t>
  </si>
  <si>
    <t>02.01.108</t>
  </si>
  <si>
    <t>02.01.109</t>
  </si>
  <si>
    <t>02.01.201</t>
  </si>
  <si>
    <t>02.01.202</t>
  </si>
  <si>
    <t>02.01.203</t>
  </si>
  <si>
    <t>02.01.204</t>
  </si>
  <si>
    <t>02.01.401</t>
  </si>
  <si>
    <t>02.01.402</t>
  </si>
  <si>
    <t>02.03.001</t>
  </si>
  <si>
    <t>02.04.001</t>
  </si>
  <si>
    <t>02.04.002</t>
  </si>
  <si>
    <t>02.04.003</t>
  </si>
  <si>
    <t>02.04.004</t>
  </si>
  <si>
    <t>02.04.005</t>
  </si>
  <si>
    <t>02.04.006</t>
  </si>
  <si>
    <t>03.01.427.001</t>
  </si>
  <si>
    <t>03.01.427.003</t>
  </si>
  <si>
    <t>03.01.427.004</t>
  </si>
  <si>
    <t>03.01.427.005</t>
  </si>
  <si>
    <t>03.01.427.006</t>
  </si>
  <si>
    <t>03.01.427.007</t>
  </si>
  <si>
    <t>03.01.427.008</t>
  </si>
  <si>
    <t>03.01.427.009</t>
  </si>
  <si>
    <t>03.01.427.010</t>
  </si>
  <si>
    <t>03.01.427.011</t>
  </si>
  <si>
    <t>03.01.480.001</t>
  </si>
  <si>
    <t>03.01.480.002</t>
  </si>
  <si>
    <t>03.01.480.003</t>
  </si>
  <si>
    <t>03.01.480.004</t>
  </si>
  <si>
    <t>03.01.501.001</t>
  </si>
  <si>
    <t>03.01.502.001</t>
  </si>
  <si>
    <t>03.01.502.002</t>
  </si>
  <si>
    <t>03.01.503.001</t>
  </si>
  <si>
    <t>03.01.503.002</t>
  </si>
  <si>
    <t>03.01.503.003</t>
  </si>
  <si>
    <t>03.01.503.004</t>
  </si>
  <si>
    <t>03.01.503.005</t>
  </si>
  <si>
    <t>03.01.503.006</t>
  </si>
  <si>
    <t>03.01.504.001</t>
  </si>
  <si>
    <t>03.01.600.001</t>
  </si>
  <si>
    <t>03.02.111.001</t>
  </si>
  <si>
    <t>03.02.112.001</t>
  </si>
  <si>
    <t>03.02.112.002</t>
  </si>
  <si>
    <t>03.02.112.003</t>
  </si>
  <si>
    <t>03.02.112.004</t>
  </si>
  <si>
    <t>03.02.112.005</t>
  </si>
  <si>
    <t>03.02.112.006</t>
  </si>
  <si>
    <t>03.02.113.001</t>
  </si>
  <si>
    <t>03.02.121.001</t>
  </si>
  <si>
    <t>03.02.122.001</t>
  </si>
  <si>
    <t>03.02.122.002</t>
  </si>
  <si>
    <t>03.02.122.003</t>
  </si>
  <si>
    <t>03.02.122.004</t>
  </si>
  <si>
    <t>03.02.122.005</t>
  </si>
  <si>
    <t>03.02.122.006</t>
  </si>
  <si>
    <t>03.02.122.007</t>
  </si>
  <si>
    <t>03.02.122.008</t>
  </si>
  <si>
    <t>03.02.123.001</t>
  </si>
  <si>
    <t>03.02.131.001</t>
  </si>
  <si>
    <t>03.02.132.001</t>
  </si>
  <si>
    <t>03.02.132.002</t>
  </si>
  <si>
    <t>03.02.133.001</t>
  </si>
  <si>
    <t>03.02.134.001</t>
  </si>
  <si>
    <t>03.02.134.002</t>
  </si>
  <si>
    <t>03.02.141.001</t>
  </si>
  <si>
    <t>03.02.142.001</t>
  </si>
  <si>
    <t>03.02.142.002</t>
  </si>
  <si>
    <t>03.02.142.003</t>
  </si>
  <si>
    <t>03.02.142.004</t>
  </si>
  <si>
    <t>03.02.143.001</t>
  </si>
  <si>
    <t>03.02.171.001</t>
  </si>
  <si>
    <t>03.02.171.002</t>
  </si>
  <si>
    <t>03.02.172.001</t>
  </si>
  <si>
    <t>03.02.172.002</t>
  </si>
  <si>
    <t>03.02.173.001</t>
  </si>
  <si>
    <t>03.02.181.001</t>
  </si>
  <si>
    <t>03.02.182.001</t>
  </si>
  <si>
    <t>03.02.182.002</t>
  </si>
  <si>
    <t>03.02.182.003</t>
  </si>
  <si>
    <t>03.02.183.001</t>
  </si>
  <si>
    <t>03.02.400.001</t>
  </si>
  <si>
    <t>03.02.400.002</t>
  </si>
  <si>
    <t>03.02.400.003</t>
  </si>
  <si>
    <t>03.02.400.004</t>
  </si>
  <si>
    <t>03.02.430.001</t>
  </si>
  <si>
    <t>03.02.430.002</t>
  </si>
  <si>
    <t>03.03.100.001</t>
  </si>
  <si>
    <t>03.03.100.002</t>
  </si>
  <si>
    <t>04.01.102.001</t>
  </si>
  <si>
    <t>04.01.102.002</t>
  </si>
  <si>
    <t>04.01.102.003</t>
  </si>
  <si>
    <t>04.01.102.004</t>
  </si>
  <si>
    <t>04.01.104.001</t>
  </si>
  <si>
    <t>04.01.114.001</t>
  </si>
  <si>
    <t>04.01.114.002</t>
  </si>
  <si>
    <t>04.01.120.001</t>
  </si>
  <si>
    <t>04.01.201.001</t>
  </si>
  <si>
    <t>04.01.201.002</t>
  </si>
  <si>
    <t>04.01.201.003</t>
  </si>
  <si>
    <t>04.01.201.004</t>
  </si>
  <si>
    <t>04.01.204.001</t>
  </si>
  <si>
    <t>04.01.208.001</t>
  </si>
  <si>
    <t>04.01.211.001</t>
  </si>
  <si>
    <t>04.01.211.002</t>
  </si>
  <si>
    <t>04.01.211.003</t>
  </si>
  <si>
    <t>04.01.211.004</t>
  </si>
  <si>
    <t>04.01.211.006</t>
  </si>
  <si>
    <t>04.01.211.007</t>
  </si>
  <si>
    <t>04.01.211.008</t>
  </si>
  <si>
    <t>04.01.211.009</t>
  </si>
  <si>
    <t>04.01.211.010</t>
  </si>
  <si>
    <t>04.01.211.011</t>
  </si>
  <si>
    <t>04.01.211.012</t>
  </si>
  <si>
    <t>04.01.211.013</t>
  </si>
  <si>
    <t>04.01.211.014</t>
  </si>
  <si>
    <t>04.01.211.015</t>
  </si>
  <si>
    <t>04.01.211.016</t>
  </si>
  <si>
    <t>04.01.211.017</t>
  </si>
  <si>
    <t>04.01.212.001</t>
  </si>
  <si>
    <t>04.01.212.002</t>
  </si>
  <si>
    <t>04.01.212.003</t>
  </si>
  <si>
    <t>04.01.212.004</t>
  </si>
  <si>
    <t>04.01.212.005</t>
  </si>
  <si>
    <t>04.01.212.006</t>
  </si>
  <si>
    <t>04.01.213.001</t>
  </si>
  <si>
    <t>04.01.213.002</t>
  </si>
  <si>
    <t>04.01.241.001</t>
  </si>
  <si>
    <t>04.01.241.002</t>
  </si>
  <si>
    <t>04.01.241.003</t>
  </si>
  <si>
    <t>04.01.303.001</t>
  </si>
  <si>
    <t>04.01.303.002</t>
  </si>
  <si>
    <t>04.01.303.003</t>
  </si>
  <si>
    <t>04.01.311.001</t>
  </si>
  <si>
    <t>04.01.410.001</t>
  </si>
  <si>
    <t>04.01.417.001</t>
  </si>
  <si>
    <t>04.01.510.001</t>
  </si>
  <si>
    <t>04.01.510.002</t>
  </si>
  <si>
    <t>04.01.510.003</t>
  </si>
  <si>
    <t>04.01.530.001</t>
  </si>
  <si>
    <t>04.01.530.002</t>
  </si>
  <si>
    <t>04.01.530.003</t>
  </si>
  <si>
    <t>04.01.530.004</t>
  </si>
  <si>
    <t>04.01.530.005</t>
  </si>
  <si>
    <t>04.01.530.006</t>
  </si>
  <si>
    <t>04.01.550.001</t>
  </si>
  <si>
    <t>04.01.550.002</t>
  </si>
  <si>
    <t>04.01.560.001</t>
  </si>
  <si>
    <t>04.01.560.002</t>
  </si>
  <si>
    <t>04.01.560.003</t>
  </si>
  <si>
    <t>04.01.560.004</t>
  </si>
  <si>
    <t>04.01.560.005</t>
  </si>
  <si>
    <t>04.01.560.006</t>
  </si>
  <si>
    <t>04.01.560.007</t>
  </si>
  <si>
    <t>04.01.560.008</t>
  </si>
  <si>
    <t>04.01.560.009</t>
  </si>
  <si>
    <t>04.01.580.001</t>
  </si>
  <si>
    <t>04.01.600.001</t>
  </si>
  <si>
    <t>04.01.600.002</t>
  </si>
  <si>
    <t>04.01.600.003</t>
  </si>
  <si>
    <t>04.01.600.004</t>
  </si>
  <si>
    <t>04.01.600.005</t>
  </si>
  <si>
    <t>04.01.600.006</t>
  </si>
  <si>
    <t>04.01.600.007</t>
  </si>
  <si>
    <t>04.01.600.008</t>
  </si>
  <si>
    <t>04.01.600.009</t>
  </si>
  <si>
    <t>04.01.600.010</t>
  </si>
  <si>
    <t>04.01.600.011</t>
  </si>
  <si>
    <t>04.01.600.012</t>
  </si>
  <si>
    <t>04.01.701.001</t>
  </si>
  <si>
    <t>04.01.702.001</t>
  </si>
  <si>
    <t>04.01.703.001</t>
  </si>
  <si>
    <t>04.01.703.002</t>
  </si>
  <si>
    <t>04.01.800.001</t>
  </si>
  <si>
    <t>04.01.800.002</t>
  </si>
  <si>
    <t>04.01.800.003</t>
  </si>
  <si>
    <t>04.01.800.004</t>
  </si>
  <si>
    <t>04.01.800.005</t>
  </si>
  <si>
    <t>04.01.800.006</t>
  </si>
  <si>
    <t>04.01.800.007</t>
  </si>
  <si>
    <t>04.02.000.001</t>
  </si>
  <si>
    <t>04.02.000.002</t>
  </si>
  <si>
    <t>04.02.000.003</t>
  </si>
  <si>
    <t>04.04.400.001</t>
  </si>
  <si>
    <t>04.04.400.002</t>
  </si>
  <si>
    <t>04.04.400.003</t>
  </si>
  <si>
    <t>04.04.400.004</t>
  </si>
  <si>
    <t>04.05.100.001</t>
  </si>
  <si>
    <t>04.05.100.002</t>
  </si>
  <si>
    <t>04.05.102.001</t>
  </si>
  <si>
    <t>04.05.102.002</t>
  </si>
  <si>
    <t>04.05.103.001</t>
  </si>
  <si>
    <t>04.05.300.001</t>
  </si>
  <si>
    <t>04.05.600.001</t>
  </si>
  <si>
    <t>04.05.600.002</t>
  </si>
  <si>
    <t>04.05.610.001</t>
  </si>
  <si>
    <t>04.05.610.002</t>
  </si>
  <si>
    <t>04.06.000.001</t>
  </si>
  <si>
    <t>04.06.000.002</t>
  </si>
  <si>
    <t>04.06.000.003</t>
  </si>
  <si>
    <t>05.01.100.001</t>
  </si>
  <si>
    <t>05.01.100.002</t>
  </si>
  <si>
    <t>05.01.100.003</t>
  </si>
  <si>
    <t>05.01.100.004</t>
  </si>
  <si>
    <t>05.01.100.005</t>
  </si>
  <si>
    <t>05.01.100.006</t>
  </si>
  <si>
    <t>05.01.100.007</t>
  </si>
  <si>
    <t>05.01.100.008</t>
  </si>
  <si>
    <t>05.01.100.009</t>
  </si>
  <si>
    <t>05.01.100.010</t>
  </si>
  <si>
    <t>05.01.100.011</t>
  </si>
  <si>
    <t>05.01.100.012</t>
  </si>
  <si>
    <t>05.01.100.013</t>
  </si>
  <si>
    <t>05.01.200.001</t>
  </si>
  <si>
    <t>05.01.200.002</t>
  </si>
  <si>
    <t>05.01.200.003</t>
  </si>
  <si>
    <t>05.01.200.004</t>
  </si>
  <si>
    <t>05.01.200.005</t>
  </si>
  <si>
    <t>05.01.200.006</t>
  </si>
  <si>
    <t>05.01.200.007</t>
  </si>
  <si>
    <t>05.01.200.008</t>
  </si>
  <si>
    <t>05.01.200.009</t>
  </si>
  <si>
    <t>05.01.200.010</t>
  </si>
  <si>
    <t>05.01.200.011</t>
  </si>
  <si>
    <t>05.01.200.012</t>
  </si>
  <si>
    <t>05.01.200.013</t>
  </si>
  <si>
    <t>05.01.200.014</t>
  </si>
  <si>
    <t>05.01.200.015</t>
  </si>
  <si>
    <t>05.01.200.016</t>
  </si>
  <si>
    <t>05.01.200.017</t>
  </si>
  <si>
    <t>05.01.200.018</t>
  </si>
  <si>
    <t>05.01.200.019</t>
  </si>
  <si>
    <t>05.01.200.020</t>
  </si>
  <si>
    <t>05.01.200.021</t>
  </si>
  <si>
    <t>05.01.200.022</t>
  </si>
  <si>
    <t>05.01.200.023</t>
  </si>
  <si>
    <t>05.01.500.001</t>
  </si>
  <si>
    <t>05.01.500.002</t>
  </si>
  <si>
    <t>05.01.500.003</t>
  </si>
  <si>
    <t>05.01.500.004</t>
  </si>
  <si>
    <t>05.01.500.005</t>
  </si>
  <si>
    <t>05.01.500.006</t>
  </si>
  <si>
    <t>05.01.500.007</t>
  </si>
  <si>
    <t>05.01.500.008</t>
  </si>
  <si>
    <t>05.01.500.009</t>
  </si>
  <si>
    <t>05.01.500.010</t>
  </si>
  <si>
    <t>05.01.500.011</t>
  </si>
  <si>
    <t>05.01.500.012</t>
  </si>
  <si>
    <t>05.01.500.013</t>
  </si>
  <si>
    <t>05.01.500.014</t>
  </si>
  <si>
    <t>05.01.500.015</t>
  </si>
  <si>
    <t>05.01.500.016</t>
  </si>
  <si>
    <t>05.01.500.017</t>
  </si>
  <si>
    <t>05.01.600.001</t>
  </si>
  <si>
    <t>05.01.600.002</t>
  </si>
  <si>
    <t>05.03.300.001</t>
  </si>
  <si>
    <t>05.03.300.002</t>
  </si>
  <si>
    <t>05.03.300.003</t>
  </si>
  <si>
    <t>05.03.300.004</t>
  </si>
  <si>
    <t>05.03.300.005</t>
  </si>
  <si>
    <t>05.03.300.006</t>
  </si>
  <si>
    <t>05.03.300.007</t>
  </si>
  <si>
    <t>05.03.350.001</t>
  </si>
  <si>
    <t>05.03.350.002</t>
  </si>
  <si>
    <t>05.03.900.001</t>
  </si>
  <si>
    <t>05.03.900.002</t>
  </si>
  <si>
    <t>05.03.910</t>
  </si>
  <si>
    <t>05.03.910.001</t>
  </si>
  <si>
    <t>05.03.910.002</t>
  </si>
  <si>
    <t>05.03.910.003</t>
  </si>
  <si>
    <t>05.03.910.004</t>
  </si>
  <si>
    <t>05.03.910.005</t>
  </si>
  <si>
    <t>05.03.910.006</t>
  </si>
  <si>
    <t>05.04.300.001</t>
  </si>
  <si>
    <t>05.04.300.002</t>
  </si>
  <si>
    <t>05.04.300.003</t>
  </si>
  <si>
    <t>05.04.300.004</t>
  </si>
  <si>
    <t>05.04.300.005</t>
  </si>
  <si>
    <t>05.04.300.006</t>
  </si>
  <si>
    <t>05.04.300.007</t>
  </si>
  <si>
    <t>05.04.300.008</t>
  </si>
  <si>
    <t>05.04.300.009</t>
  </si>
  <si>
    <t>05.04.300.010</t>
  </si>
  <si>
    <t>05.04.300.011</t>
  </si>
  <si>
    <t>05.04.300.012</t>
  </si>
  <si>
    <t>05.04.300.013</t>
  </si>
  <si>
    <t>05.04.300.014</t>
  </si>
  <si>
    <t>05.04.300.015</t>
  </si>
  <si>
    <t>05.04.300.016</t>
  </si>
  <si>
    <t>05.04.300.017</t>
  </si>
  <si>
    <t>05.04.300.018</t>
  </si>
  <si>
    <t>05.04.300.019</t>
  </si>
  <si>
    <t>05.04.300.020</t>
  </si>
  <si>
    <t>05.04.300.021</t>
  </si>
  <si>
    <t>05.04.300.022</t>
  </si>
  <si>
    <t xml:space="preserve"> 05.04.800.001</t>
  </si>
  <si>
    <t xml:space="preserve"> 05.04.800.002</t>
  </si>
  <si>
    <t xml:space="preserve"> 05.04.800.003</t>
  </si>
  <si>
    <t xml:space="preserve"> 05.04.800.004</t>
  </si>
  <si>
    <t xml:space="preserve"> 05.04.800.005</t>
  </si>
  <si>
    <t xml:space="preserve"> 05.04.800.006</t>
  </si>
  <si>
    <t xml:space="preserve"> 05.04.900.001</t>
  </si>
  <si>
    <t xml:space="preserve"> 05.04.900.002</t>
  </si>
  <si>
    <t xml:space="preserve"> 06.01.100.001</t>
  </si>
  <si>
    <t xml:space="preserve"> 06.01.101.001</t>
  </si>
  <si>
    <t xml:space="preserve"> 06.01.103.001</t>
  </si>
  <si>
    <t xml:space="preserve"> 06.01.103.002</t>
  </si>
  <si>
    <t xml:space="preserve"> 06.01.104.001</t>
  </si>
  <si>
    <t xml:space="preserve"> 06.01.301.001</t>
  </si>
  <si>
    <t xml:space="preserve"> 06.01.302.001</t>
  </si>
  <si>
    <t xml:space="preserve"> 06.01.302.002</t>
  </si>
  <si>
    <t xml:space="preserve"> 06.01.302.003</t>
  </si>
  <si>
    <t xml:space="preserve"> 06.01.302.004</t>
  </si>
  <si>
    <t xml:space="preserve"> 06.01.302.005</t>
  </si>
  <si>
    <t xml:space="preserve"> 06.01.302.006</t>
  </si>
  <si>
    <t xml:space="preserve"> 06.01.302.007</t>
  </si>
  <si>
    <t xml:space="preserve"> 06.01.302.008</t>
  </si>
  <si>
    <t xml:space="preserve"> 06.01.302.009</t>
  </si>
  <si>
    <t xml:space="preserve"> 06.01.302.010</t>
  </si>
  <si>
    <t xml:space="preserve"> 06.01.304.001</t>
  </si>
  <si>
    <t xml:space="preserve"> 06.01.304.002</t>
  </si>
  <si>
    <t xml:space="preserve"> 06.01.304.003</t>
  </si>
  <si>
    <t xml:space="preserve"> 06.01.304.004</t>
  </si>
  <si>
    <t xml:space="preserve"> 06.01.304.005</t>
  </si>
  <si>
    <t xml:space="preserve"> 06.01.304.006</t>
  </si>
  <si>
    <t xml:space="preserve"> 06.01.304.007</t>
  </si>
  <si>
    <t xml:space="preserve"> 06.01.304.008</t>
  </si>
  <si>
    <t xml:space="preserve"> 06.01.304.009</t>
  </si>
  <si>
    <t xml:space="preserve"> 06.01.304.010</t>
  </si>
  <si>
    <t xml:space="preserve"> 06.01.305.001</t>
  </si>
  <si>
    <t xml:space="preserve"> 06.01.305.002</t>
  </si>
  <si>
    <t xml:space="preserve"> 06.01.305.003</t>
  </si>
  <si>
    <t xml:space="preserve"> 06.01.305.004</t>
  </si>
  <si>
    <t xml:space="preserve"> 06.01.305.005</t>
  </si>
  <si>
    <t xml:space="preserve"> 06.01.305.006</t>
  </si>
  <si>
    <t>06.01.306.001</t>
  </si>
  <si>
    <t>06.01.306.002</t>
  </si>
  <si>
    <t>06.01.306.003</t>
  </si>
  <si>
    <t>06.01.306.004</t>
  </si>
  <si>
    <t>06.01.306.005</t>
  </si>
  <si>
    <t>06.01.306.006</t>
  </si>
  <si>
    <t>06.01.309.001</t>
  </si>
  <si>
    <t>06.01.309.002</t>
  </si>
  <si>
    <t>06.01.309.003</t>
  </si>
  <si>
    <t>06.01.309.004</t>
  </si>
  <si>
    <t>06.01.309.005</t>
  </si>
  <si>
    <t>06.01.309.006</t>
  </si>
  <si>
    <t>06.01.309.007</t>
  </si>
  <si>
    <t>06.01.309.008</t>
  </si>
  <si>
    <t>06.01.401.001</t>
  </si>
  <si>
    <t>06.01.401.002</t>
  </si>
  <si>
    <t>06.01.401.003</t>
  </si>
  <si>
    <t>06.01.401.004</t>
  </si>
  <si>
    <t>06.01.401.005</t>
  </si>
  <si>
    <t>06.01.401.006</t>
  </si>
  <si>
    <t>06.01.403.001</t>
  </si>
  <si>
    <t>06.01.403.002</t>
  </si>
  <si>
    <t>06.01.403.003</t>
  </si>
  <si>
    <t>06.01.403.004</t>
  </si>
  <si>
    <t>06.01.404.001</t>
  </si>
  <si>
    <t>06.01.404.002</t>
  </si>
  <si>
    <t>06.01.404.003</t>
  </si>
  <si>
    <t>06.01.404.004</t>
  </si>
  <si>
    <t>06.01.500.001</t>
  </si>
  <si>
    <t>06.01.500.002</t>
  </si>
  <si>
    <t>06.01.500.003</t>
  </si>
  <si>
    <t>06.02.100.001</t>
  </si>
  <si>
    <t>06.02.100.002</t>
  </si>
  <si>
    <t>06.02.100.003</t>
  </si>
  <si>
    <t>06.02.100.004</t>
  </si>
  <si>
    <t>06.02.100.005</t>
  </si>
  <si>
    <t>06.02.200.001</t>
  </si>
  <si>
    <t>06.02.200.002</t>
  </si>
  <si>
    <t>06.02.300.001</t>
  </si>
  <si>
    <t>06.02.300.002</t>
  </si>
  <si>
    <t>06.02.300.003</t>
  </si>
  <si>
    <t>06.02.300.004</t>
  </si>
  <si>
    <t>06.02.300.005</t>
  </si>
  <si>
    <t>06.02.300.006</t>
  </si>
  <si>
    <t>06.02.300.007</t>
  </si>
  <si>
    <t>06.02.300.008</t>
  </si>
  <si>
    <t>06.02.300.009</t>
  </si>
  <si>
    <t>06.02.300.010</t>
  </si>
  <si>
    <t>06.02.300.011</t>
  </si>
  <si>
    <t>06.02.300.012</t>
  </si>
  <si>
    <t>06.02.300.013</t>
  </si>
  <si>
    <t>06.02.300.014</t>
  </si>
  <si>
    <t>06.02.300.015</t>
  </si>
  <si>
    <t>06.02.400.001</t>
  </si>
  <si>
    <t>06.02.400.002</t>
  </si>
  <si>
    <t>06.02.400.003</t>
  </si>
  <si>
    <t>06.02.400.004</t>
  </si>
  <si>
    <t>06.03.100.001</t>
  </si>
  <si>
    <t>06.03.200.001</t>
  </si>
  <si>
    <t>06.03.200.002</t>
  </si>
  <si>
    <t>06.03.200.003</t>
  </si>
  <si>
    <t>06.03.200.004</t>
  </si>
  <si>
    <t>06.03.300.001</t>
  </si>
  <si>
    <t>06.03.300.002</t>
  </si>
  <si>
    <t>06.03.300.003</t>
  </si>
  <si>
    <t>06.03.300.004</t>
  </si>
  <si>
    <t>06.03.300.005</t>
  </si>
  <si>
    <t>06.03.300.006</t>
  </si>
  <si>
    <t>06.03.300.007</t>
  </si>
  <si>
    <t>06.03.300.008</t>
  </si>
  <si>
    <t>06.03.300.009</t>
  </si>
  <si>
    <t>06.03.300.010</t>
  </si>
  <si>
    <t>06.03.300.011</t>
  </si>
  <si>
    <t>06.03.400.001</t>
  </si>
  <si>
    <t>06.03.400.002</t>
  </si>
  <si>
    <t>06.03.600.001</t>
  </si>
  <si>
    <t>06.03.600.002</t>
  </si>
  <si>
    <t>06.03.600.003</t>
  </si>
  <si>
    <t>06.03.600.004</t>
  </si>
  <si>
    <t>06.03.600.005</t>
  </si>
  <si>
    <t>06.03.600.006</t>
  </si>
  <si>
    <t>07.02.300.001</t>
  </si>
  <si>
    <t>07.02.300.002</t>
  </si>
  <si>
    <t>07.07.000.001</t>
  </si>
  <si>
    <t>07.07.000.002</t>
  </si>
  <si>
    <t>07.07.000.003</t>
  </si>
  <si>
    <t>08.01.200.001</t>
  </si>
  <si>
    <t>08.01.200.002</t>
  </si>
  <si>
    <t>08.01.200.003</t>
  </si>
  <si>
    <t>08.01.200.004</t>
  </si>
  <si>
    <t>08.01.200.005</t>
  </si>
  <si>
    <t>08.01.200.006</t>
  </si>
  <si>
    <t>08.01.200.007</t>
  </si>
  <si>
    <t>08.01.200.008</t>
  </si>
  <si>
    <t>08.01.200.009</t>
  </si>
  <si>
    <t>08.01.200.010</t>
  </si>
  <si>
    <t>08.01.200.011</t>
  </si>
  <si>
    <t>08.01.200.012</t>
  </si>
  <si>
    <t>08.01.200.013</t>
  </si>
  <si>
    <t>08.01.200.014</t>
  </si>
  <si>
    <t>08.01.200.015</t>
  </si>
  <si>
    <t>08.01.200.016</t>
  </si>
  <si>
    <t>08.01.200.017</t>
  </si>
  <si>
    <t xml:space="preserve"> 08.01.510.001</t>
  </si>
  <si>
    <t xml:space="preserve"> 08.01.510.002</t>
  </si>
  <si>
    <t xml:space="preserve"> 08.01.511.001</t>
  </si>
  <si>
    <t xml:space="preserve"> 08.01.516.001</t>
  </si>
  <si>
    <t xml:space="preserve"> 08.01.517.001</t>
  </si>
  <si>
    <t xml:space="preserve"> 08.01.519.001</t>
  </si>
  <si>
    <t xml:space="preserve"> 08.01.519.002</t>
  </si>
  <si>
    <t xml:space="preserve"> 08.01.519.003</t>
  </si>
  <si>
    <t xml:space="preserve"> 08.01.519.004</t>
  </si>
  <si>
    <t xml:space="preserve"> 08.01.519.005</t>
  </si>
  <si>
    <t xml:space="preserve"> 08.01.519.006</t>
  </si>
  <si>
    <t xml:space="preserve"> 08.01.519.007</t>
  </si>
  <si>
    <t xml:space="preserve"> 08.01.600.001</t>
  </si>
  <si>
    <t>09.01.000</t>
  </si>
  <si>
    <t>09.01.000.001</t>
  </si>
  <si>
    <t>09.01.000.002</t>
  </si>
  <si>
    <t>09.02.000.001</t>
  </si>
  <si>
    <t>09.03.000.001</t>
  </si>
  <si>
    <t>09.04.000</t>
  </si>
  <si>
    <t>09.04.000.001</t>
  </si>
  <si>
    <t>10.01.000.001</t>
  </si>
  <si>
    <t>10.01.000.002</t>
  </si>
  <si>
    <t>10.01.000.003</t>
  </si>
  <si>
    <t>10.01.000.004</t>
  </si>
  <si>
    <t>10.01.000.005</t>
  </si>
  <si>
    <t>10.01.000.006</t>
  </si>
  <si>
    <t>10.01.000.007</t>
  </si>
  <si>
    <t>10.01.000.008</t>
  </si>
  <si>
    <t>10.01.000.009</t>
  </si>
  <si>
    <t>10.01.000.010</t>
  </si>
  <si>
    <t>10.01.000.011</t>
  </si>
  <si>
    <t>10.04.000.001</t>
  </si>
  <si>
    <t>de Alvenaria de tijolos furados de barro</t>
  </si>
  <si>
    <t>de Alvenaria de tijolos laminados de cerâmica</t>
  </si>
  <si>
    <t>de Alvenaria de elementos vazados de cerâmica</t>
  </si>
  <si>
    <t>de Divisória de granito</t>
  </si>
  <si>
    <t>Sistema de Amortização de Águas Pluviais e Reservatórios de detenção</t>
  </si>
  <si>
    <t>39029U</t>
  </si>
  <si>
    <t>PERFILADO PERFURADO DUPLO 38X76 MM, CHAPA 22 AF_05/2015</t>
  </si>
  <si>
    <t>SUPORTE DE ATÉ 3 TUBOS HORIZONTAIS, EM PERFILADO DE SECÇÃO 38X76 MM AF_05/2015</t>
  </si>
  <si>
    <t>Luminária tipo calha de sobrepor, retangular, alto fluxo, alumínio com pintura branca fosca, 2,60m com lâmpada 36w</t>
  </si>
  <si>
    <t>PROJETO: CENTRO EDUCACIONAL CRIXÁ</t>
  </si>
  <si>
    <t xml:space="preserve">TIPO DE OBRA DO EMPREENDIMENTO </t>
  </si>
  <si>
    <t>DESONERAÇÂO</t>
  </si>
  <si>
    <t>Construção e Reforma de Edifícios</t>
  </si>
  <si>
    <t>Sim</t>
  </si>
  <si>
    <t>ADMINISTRAÇÃO CENTRAL (AC)</t>
  </si>
  <si>
    <t>SEGUROS + GARANTIAS (SG)</t>
  </si>
  <si>
    <t>TAXA DE RISCO (R)</t>
  </si>
  <si>
    <t>DESPESAS FINANCEIRAS (DF)</t>
  </si>
  <si>
    <t>TAXA DE LUCRO (L)</t>
  </si>
  <si>
    <t>IMPOSTOS (I)</t>
  </si>
  <si>
    <t>BDI com Desoneração (Fórmula Acórdão TCU)</t>
  </si>
  <si>
    <t>BDI Diferenciado para equipamentos e materiais</t>
  </si>
  <si>
    <t>BDI</t>
  </si>
  <si>
    <t>BDI      20,26%</t>
  </si>
  <si>
    <t xml:space="preserve">B.D.I. =  20,26% </t>
  </si>
  <si>
    <t>CAPA DA PLANILHA ESTIMATIVA</t>
  </si>
  <si>
    <t>(Conforme Lei 8.666/93, artigo 40, parágrafo 2º, inciso II)</t>
  </si>
  <si>
    <t>TÍTULO:</t>
  </si>
  <si>
    <t>CENTRO EDUCACIONAL CRIXÁ - BAIRRO CRIXÁ</t>
  </si>
  <si>
    <t>Nº PROJETO:</t>
  </si>
  <si>
    <t>NOME PROJETO:</t>
  </si>
  <si>
    <t>Centro Educacional Crixá - Bairro Crixá</t>
  </si>
  <si>
    <t>ENDEREÇO:</t>
  </si>
  <si>
    <t>Avenida Crixá, Lote 06, Bairro Crixá - São Sebastião / DF</t>
  </si>
  <si>
    <t>PRAZO:</t>
  </si>
  <si>
    <t>12 meses</t>
  </si>
  <si>
    <t>DATA:</t>
  </si>
  <si>
    <t>ORÇAMENTISTA(S):</t>
  </si>
  <si>
    <t>Arquiteto Ildeu Pinto de Amorim</t>
  </si>
  <si>
    <t>PROCESSO:</t>
  </si>
  <si>
    <t xml:space="preserve">TABELA DE REFERÊNCIA:  </t>
  </si>
  <si>
    <t>SISOBRAS:</t>
  </si>
  <si>
    <t>Área total de Construção 7.763,17 m²</t>
  </si>
  <si>
    <t>01. Para o efeito de licitação, verificar todas as considerações a respeito dos serviços e fazer as alterações do projeto e do caderno de especificações de Arquitetura onde se fizer necessário, a fim de compatibiliza-los com as estimativas.</t>
  </si>
  <si>
    <t>RESP. CAPA:</t>
  </si>
  <si>
    <t>ESTIMATIVAS:</t>
  </si>
  <si>
    <t xml:space="preserve">FORMAÇÃO DE PREÇOS ORÇAMENTO EDIFICAÇÃO </t>
  </si>
  <si>
    <t>NOTAS:</t>
  </si>
  <si>
    <t>*Esta planilha é orientativa. Desta forma, é de inteira responsabilidade do contratado as quantidades e valores necessários a completa execução da obra.</t>
  </si>
  <si>
    <t>*Havendo irregularidades neste instrumento, entre em contato com a Ouvidoria de Combate a Corrupção, no telefone 0800-6449060</t>
  </si>
  <si>
    <t>PLANILHA ORÇAMENTÁRIA RESUMO</t>
  </si>
  <si>
    <t>OBRA: Centro Educacional Crixá</t>
  </si>
  <si>
    <t>LOCAL: Avenida Crixá, Lote 06 - Bairro Crixá - São Sebastião / DF</t>
  </si>
  <si>
    <t>Área de construção: 7.763,17 m²</t>
  </si>
  <si>
    <t>OBRA:</t>
  </si>
  <si>
    <t>LOCAL:</t>
  </si>
  <si>
    <t>PREÇO UNITÁRIO(R$)</t>
  </si>
  <si>
    <t>PREÇO     TOTAL (R$)</t>
  </si>
  <si>
    <t>PLANILHA ESTIMATIVA DOS SERVIÇOS (NÃO DESONERADA)</t>
  </si>
  <si>
    <t>BDI EQUIPAMENTOS</t>
  </si>
  <si>
    <t>Avenida Crixá, Lote 06 - Bairro Crixá - São Sebastião / DF</t>
  </si>
  <si>
    <t>ÁREA CONSTRUÇÂO: 7.763,17 m²</t>
  </si>
  <si>
    <t>CRONOGRAMA FÍSICO FINANCEIRO</t>
  </si>
  <si>
    <t xml:space="preserve">TOTAL (R$)             com BDI </t>
  </si>
  <si>
    <t>TOTAL DO ITEM</t>
  </si>
  <si>
    <t>TOTAIS GERAIS COM BDI</t>
  </si>
  <si>
    <t>TOTAIS GERAIS ACUMULADO</t>
  </si>
  <si>
    <t>PORCENTAGEM EM RELAÇÂO AO VALOR DA OBRA</t>
  </si>
  <si>
    <t xml:space="preserve">PORCENTAGENS ACUMULADAS EM RELAÇÂO AO VALOR TOTAL DA OBRA </t>
  </si>
  <si>
    <t>TOTAL DO ITEM 03.00.000</t>
  </si>
  <si>
    <t>TOTAL DO ITEM 04.00.000</t>
  </si>
  <si>
    <t>TOTAL DO ITEM 05.00.000</t>
  </si>
  <si>
    <t>TOTAL DO ITEM 06.00.000</t>
  </si>
  <si>
    <t>TOTAL DO ITEM 07.00.000</t>
  </si>
  <si>
    <t>DIRETOR DE OBRAS SECRETARIA DE ESTADO DE EDUCAÇÃO DO</t>
  </si>
  <si>
    <t>DISTRITO FEDERAL</t>
  </si>
  <si>
    <t>GERENTE DE OBRAS SECRETARIA DE ESTADO DE EDUCAÇÃO DO</t>
  </si>
  <si>
    <t>FISCAL DE OBRAS SECRETARIA DE ESTADO DE EDUCAÇÃO DO</t>
  </si>
  <si>
    <t>EMPREITEIRO</t>
  </si>
  <si>
    <t>BDI = 20,26% ............................................................................................................................   R$        3.592.473,16</t>
  </si>
  <si>
    <t>SUB TOTAL ...............................................................................................................................   R$      17.731.851,73</t>
  </si>
  <si>
    <t>TOTAL DO ITEM 10.00.000</t>
  </si>
  <si>
    <t>outubro</t>
  </si>
  <si>
    <t>novembro</t>
  </si>
  <si>
    <t>dezembro</t>
  </si>
  <si>
    <t>janeiro</t>
  </si>
  <si>
    <t>fevereiro</t>
  </si>
  <si>
    <t>março</t>
  </si>
  <si>
    <t>abril</t>
  </si>
  <si>
    <t>maio</t>
  </si>
  <si>
    <t>junho</t>
  </si>
  <si>
    <t>julho</t>
  </si>
  <si>
    <t>agosto</t>
  </si>
  <si>
    <t>setembro</t>
  </si>
  <si>
    <t xml:space="preserve">julho </t>
  </si>
  <si>
    <t>Poste de aço galvanizado ELETROPAULO/BANDEIRANTES/ELEKTRO/CPFL para entrada de energia h = 7 m, Ø 4", # 5 mm</t>
  </si>
  <si>
    <t>FUNDO ANTICORROSIVO TIPO ZARCÃO</t>
  </si>
  <si>
    <t>03622/ORSE</t>
  </si>
  <si>
    <t>8347/ORSE</t>
  </si>
  <si>
    <t>06554/ORSE</t>
  </si>
  <si>
    <t>06954/ORSE</t>
  </si>
  <si>
    <t>012922/ORSE</t>
  </si>
  <si>
    <t>103316U</t>
  </si>
  <si>
    <t>LEIS SOCIAIS HORISTAS: 110,14%</t>
  </si>
  <si>
    <t>LEIS SOCIAIS MENSALISTAS: 70,03%</t>
  </si>
  <si>
    <t>103322U</t>
  </si>
  <si>
    <t>103327U</t>
  </si>
  <si>
    <t>102505U</t>
  </si>
  <si>
    <t>10072/ORSE</t>
  </si>
  <si>
    <t>13056/ORSE</t>
  </si>
  <si>
    <t>09834/ORSE</t>
  </si>
  <si>
    <t>07826/ORSE</t>
  </si>
  <si>
    <t>09670/ORSE</t>
  </si>
  <si>
    <t>09905/ORSE</t>
  </si>
  <si>
    <t>JOELHO 90º EM FERRO GALVANIZADO 4"  FORNECIMENTO E INSTALAÇÃO</t>
  </si>
  <si>
    <t>JOELHO 90º EM FERRO GALVANIZADO 6" - FORNECIMENTO E INSTALAÇÃO</t>
  </si>
  <si>
    <r>
      <t xml:space="preserve">TABELA DE REFERÊNCIA: SICRO - </t>
    </r>
    <r>
      <rPr>
        <b/>
        <sz val="9"/>
        <rFont val="Arial"/>
        <family val="2"/>
      </rPr>
      <t>OUTUBRO / 2021</t>
    </r>
    <r>
      <rPr>
        <b/>
        <sz val="9"/>
        <color rgb="FFFF0000"/>
        <rFont val="Arial"/>
        <family val="2"/>
      </rPr>
      <t xml:space="preserve"> </t>
    </r>
  </si>
  <si>
    <t xml:space="preserve">VALOR ESTIMADO COM BDI ........................................................................  </t>
  </si>
  <si>
    <t>ORSE - 01973</t>
  </si>
  <si>
    <t>CHAPA EM ACO GALVANIZADO PARA STEEL DECK, COM NERVURAS TRAPEZOIDAIS, M2 146,70 LARGURA UTIL DE 915 MM E ESPESSURA DE 0,95 MM</t>
  </si>
  <si>
    <t>09628/ORSE</t>
  </si>
  <si>
    <t>SINAPI - Outubro de 2022 - Não Desonerado</t>
  </si>
  <si>
    <r>
      <t>TABELA DE REFERÊNCIA: ORSE - SETEMBRO / 2022-1</t>
    </r>
    <r>
      <rPr>
        <b/>
        <sz val="9"/>
        <color rgb="FFFF0000"/>
        <rFont val="Arial"/>
        <family val="2"/>
      </rPr>
      <t xml:space="preserve"> </t>
    </r>
  </si>
  <si>
    <t>TABELA DE REFERÊNCIA: SINAPI - OUTUBRO. 2022 - NÃO DESONERADO</t>
  </si>
  <si>
    <t>TABELA DE REFERÊNCIA: SINAPI  - OUTUBRO - 2022 - NÃO DESONERADO</t>
  </si>
  <si>
    <t>10416/ORSE</t>
  </si>
  <si>
    <t>Poste circular de concreto 11/600 - Fornecimento</t>
  </si>
  <si>
    <t>Caminhão basculante 14 m3, com cavalo mecânico de capacidade máxima de tração combinado de 36000 kg, potência 286 cv, inclusive semireboque com caçamba metálica - chp diurno. af_12/2014</t>
  </si>
  <si>
    <t>Caminhão basculante 14 m3, com cavalo mecânico de capacidade máxima de tração combinado de 36000 kg, potência 286 cv, inclusive semireboque com caçamba metálica - chi diurno. af_12/2014</t>
  </si>
  <si>
    <t>00314/ORSE</t>
  </si>
  <si>
    <t>Transformador de 300 kva, 15 kv, 60 hz, at 13,8kv, bt 220/127v</t>
  </si>
  <si>
    <t>Eletroduto em ferro galvanizado pesado sem costura 2" x 3m</t>
  </si>
  <si>
    <t>Braço para iluminação pública, em tubo de aço galvanizado, comprimento de 1,50 m, para fixação em poste de concreto - fornecimento e instalação. af_08/2020</t>
  </si>
  <si>
    <t>00354/ORSE</t>
  </si>
  <si>
    <t>Eletroduto de pvc rígido roscável, diâm = 32mm (1")</t>
  </si>
  <si>
    <t>Cabo de cobre flexível isolado, 50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</si>
  <si>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</si>
  <si>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Eletroduto rígido roscável, pvc, dn 110 mm (4"), para rede enterrada de distribuição de energia elétrica - fornecimento e instalação. af_12/2021</t>
  </si>
  <si>
    <t>Eletroduto rígido roscável, pvc, dn 50 mm (1 1/2"), para rede enterrada de distribuição de energia elétrica - fornecimento e instalação. af_12/2021</t>
  </si>
  <si>
    <t>Cabo de cobre flexível isolado, 120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</si>
  <si>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</si>
  <si>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6 mm², anti-chama 0,6/1,0 kv, para circuitos terminais - fornecimento e instalação. af_12/2015</t>
  </si>
  <si>
    <t>11083/ORSE</t>
  </si>
  <si>
    <t>Caixa de passagem em alvenaria de tijolos maciços esp. = 0,12m, dim. int. = 0.40 x 0.40 x 0.30m, com brita e grelha em ferro fundido</t>
  </si>
  <si>
    <t>06457/ORSE</t>
  </si>
  <si>
    <t>Concreto armado fck=15MPa fabricado na obra, adensado e lançado, para Uso Geral, com formas planas em compensado resinado 12mm (05 usos)</t>
  </si>
  <si>
    <t>103328/SINAPI</t>
  </si>
  <si>
    <t>Alvenaria de vedação de blocos cerâmicos furados na horizontal de 9x19x19 cm (espessura 9 cm) e argamassa de assentamento com preparo em betoneira. af_12/2021</t>
  </si>
  <si>
    <t>03316/ORSE</t>
  </si>
  <si>
    <t>Reboco ou emboço externo, de parede, com argamassa traço t5 - 1:2:8 (cimento / cal / areia), espessura 2,5 cm</t>
  </si>
  <si>
    <t>Chave seccionadora fusível nh sem carga 400a</t>
  </si>
  <si>
    <t>12814/ORSE</t>
  </si>
  <si>
    <t>Quadro de comando para 3 bombas de incendio, sendo de 2 de até 10 cv e 01 bomba Jóquei 3cv, trifásica, 220 volts com chave seletora, acionamento manual / automático, quadro 0,32x0,37x0,30m, barramento de cobre, (ver desc complementar) - Fornecimento</t>
  </si>
  <si>
    <t>10692/ORSE</t>
  </si>
  <si>
    <t>Para raios tipo polimérico 15kv - 12ka</t>
  </si>
  <si>
    <t>Caixa de inspeção para aterramento, circular, em polietileno, diâmetro interno = 0,3 m. af_12/2020</t>
  </si>
  <si>
    <t>Haste de aterramento 5/8 para spda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</si>
  <si>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</si>
  <si>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</si>
  <si>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70 mm², enterrada, sem isolador - fornecimento e instalação. af_12/2017</t>
  </si>
  <si>
    <t>Caixa metálica 1000x550x300mm - Conj. TR</t>
  </si>
  <si>
    <t>07600/ORSE</t>
  </si>
  <si>
    <t>Disjuntor termomagnetico tripolar 400 A, padrão DIN (Europeu - linha branca), 36KA</t>
  </si>
  <si>
    <t>09687/ORSE</t>
  </si>
  <si>
    <t>Disjuntor termomagnético tripolar 63 A com caixa moldada 10 kA</t>
  </si>
  <si>
    <t>Disjuntor monopolar tipo din, corrente nominal de 20a - fornecimento e instalação. af_10/2020</t>
  </si>
  <si>
    <t>09041/ORSE</t>
  </si>
  <si>
    <t>Dispositivo de proteção contra surto de tensão DPS 60kA - 275v</t>
  </si>
  <si>
    <t>PLANILHA ORÇAMENTÁRIA - CURVA ABC</t>
  </si>
  <si>
    <t>C</t>
  </si>
  <si>
    <t>A</t>
  </si>
  <si>
    <t>B</t>
  </si>
  <si>
    <t>Blocos e Cintas de Fundação</t>
  </si>
  <si>
    <t>Serviços Auxiliares e Administrativos</t>
  </si>
  <si>
    <t>Instalações de Prevenção e Combate a Incêndio</t>
  </si>
  <si>
    <t>Revestimentos de Parede</t>
  </si>
  <si>
    <t>Portas e Janelas de Vidro</t>
  </si>
  <si>
    <t>Serviços Complementares</t>
  </si>
  <si>
    <t>Telefonia e Antena de TV</t>
  </si>
  <si>
    <t>Aterramento e Proteção contra Descargas Atmosféricas</t>
  </si>
  <si>
    <t>Serviços Técnicos Profissionais</t>
  </si>
  <si>
    <t>Classe</t>
  </si>
  <si>
    <t>COMPOSIÇÃO DO BDI - NÃO DESONERADO</t>
  </si>
  <si>
    <t>TABELA DE REFERÊNCIA: SINAPI - OUTUBRO DE 2022 - NÃO DESONERADO</t>
  </si>
  <si>
    <t>03975/ORSE</t>
  </si>
  <si>
    <t>Data 19.01.2023</t>
  </si>
  <si>
    <t>Data: 19.01.2023</t>
  </si>
</sst>
</file>

<file path=xl/styles.xml><?xml version="1.0" encoding="utf-8"?>
<styleSheet xmlns="http://schemas.openxmlformats.org/spreadsheetml/2006/main">
  <numFmts count="10">
    <numFmt numFmtId="44" formatCode="_-&quot;R$&quot;\ * #,##0.00_-;\-&quot;R$&quot;\ * #,##0.00_-;_-&quot;R$&quot;\ * &quot;-&quot;??_-;_-@_-"/>
    <numFmt numFmtId="43" formatCode="_-* #,##0.00_-;\-* #,##0.00_-;_-* &quot;-&quot;??_-;_-@_-"/>
    <numFmt numFmtId="164" formatCode="&quot;R$&quot;#,##0.00;[Red]\-&quot;R$&quot;#,##0.00"/>
    <numFmt numFmtId="165" formatCode="_(* #,##0_);_(* \(#,##0\);_(* &quot;-&quot;??_);_(@_)"/>
    <numFmt numFmtId="166" formatCode="_(* #,##0.00_);_(* \(#,##0.00\);_(* &quot;-&quot;??_);_(@_)"/>
    <numFmt numFmtId="167" formatCode="0.0000"/>
    <numFmt numFmtId="168" formatCode="0.000%"/>
    <numFmt numFmtId="169" formatCode="#,##0.000000000"/>
    <numFmt numFmtId="170" formatCode="#,##0.000000"/>
    <numFmt numFmtId="171" formatCode="#,##0.0000"/>
  </numFmts>
  <fonts count="69">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Verdana"/>
      <family val="2"/>
    </font>
    <font>
      <sz val="11"/>
      <color rgb="FF000000"/>
      <name val="Calibri"/>
      <family val="2"/>
      <scheme val="minor"/>
    </font>
    <font>
      <sz val="10"/>
      <color rgb="FF000000"/>
      <name val="Arial"/>
      <family val="2"/>
    </font>
    <font>
      <b/>
      <sz val="10"/>
      <color rgb="FF000000"/>
      <name val="Arial"/>
      <family val="2"/>
    </font>
    <font>
      <sz val="11"/>
      <color rgb="FF000000"/>
      <name val="Arial"/>
      <family val="2"/>
    </font>
    <font>
      <b/>
      <sz val="10"/>
      <color indexed="8"/>
      <name val="Arial"/>
      <family val="2"/>
    </font>
    <font>
      <sz val="10"/>
      <color indexed="8"/>
      <name val="Arial"/>
      <family val="2"/>
    </font>
    <font>
      <b/>
      <sz val="8"/>
      <color indexed="8"/>
      <name val="Arial"/>
      <family val="2"/>
    </font>
    <font>
      <b/>
      <sz val="10"/>
      <name val="Arial"/>
      <family val="2"/>
    </font>
    <font>
      <b/>
      <sz val="11"/>
      <name val="Arial"/>
      <family val="2"/>
    </font>
    <font>
      <sz val="10"/>
      <color theme="1"/>
      <name val="Arial"/>
      <family val="2"/>
    </font>
    <font>
      <sz val="8"/>
      <color indexed="8"/>
      <name val="Arial"/>
      <family val="2"/>
    </font>
    <font>
      <sz val="10"/>
      <name val="Arial"/>
      <family val="2"/>
    </font>
    <font>
      <sz val="9"/>
      <color indexed="8"/>
      <name val="Arial"/>
      <family val="2"/>
    </font>
    <font>
      <b/>
      <sz val="9"/>
      <color indexed="8"/>
      <name val="Arial"/>
      <family val="2"/>
    </font>
    <font>
      <sz val="9"/>
      <color theme="1"/>
      <name val="Arial"/>
      <family val="2"/>
    </font>
    <font>
      <b/>
      <sz val="10"/>
      <color rgb="FF000000"/>
      <name val="Verdana"/>
      <family val="2"/>
    </font>
    <font>
      <b/>
      <sz val="11"/>
      <color rgb="FF000000"/>
      <name val="Calibri"/>
      <family val="2"/>
      <scheme val="minor"/>
    </font>
    <font>
      <sz val="12"/>
      <name val="Arial"/>
      <family val="2"/>
    </font>
    <font>
      <sz val="8"/>
      <name val="Calibri"/>
      <family val="2"/>
      <scheme val="minor"/>
    </font>
    <font>
      <b/>
      <sz val="10"/>
      <color theme="0"/>
      <name val="Arial"/>
      <family val="2"/>
    </font>
    <font>
      <sz val="10"/>
      <color theme="0"/>
      <name val="Verdana"/>
      <family val="2"/>
    </font>
    <font>
      <sz val="10"/>
      <color theme="0"/>
      <name val="Arial"/>
      <family val="2"/>
    </font>
    <font>
      <b/>
      <sz val="16"/>
      <color theme="0"/>
      <name val="Arial"/>
      <family val="2"/>
    </font>
    <font>
      <sz val="11"/>
      <name val="Calibri"/>
      <family val="2"/>
      <scheme val="minor"/>
    </font>
    <font>
      <b/>
      <sz val="14"/>
      <color theme="1"/>
      <name val="Calibri "/>
    </font>
    <font>
      <b/>
      <sz val="14"/>
      <color theme="1"/>
      <name val="Arial"/>
      <family val="2"/>
    </font>
    <font>
      <b/>
      <u/>
      <sz val="14"/>
      <color theme="1"/>
      <name val="Arial"/>
      <family val="2"/>
    </font>
    <font>
      <sz val="12"/>
      <color theme="1"/>
      <name val="Arial"/>
      <family val="2"/>
    </font>
    <font>
      <b/>
      <sz val="12"/>
      <color theme="1"/>
      <name val="Calibri"/>
      <family val="2"/>
      <scheme val="minor"/>
    </font>
    <font>
      <sz val="12"/>
      <color theme="1"/>
      <name val="Calibri"/>
      <family val="2"/>
      <scheme val="minor"/>
    </font>
    <font>
      <u/>
      <sz val="11"/>
      <name val="Arial"/>
      <family val="2"/>
    </font>
    <font>
      <sz val="11"/>
      <name val="Calibri"/>
      <family val="2"/>
    </font>
    <font>
      <sz val="26"/>
      <name val="Calibri"/>
      <family val="2"/>
    </font>
    <font>
      <b/>
      <sz val="14"/>
      <color theme="1"/>
      <name val="Calibri"/>
      <family val="2"/>
      <scheme val="minor"/>
    </font>
    <font>
      <b/>
      <u/>
      <sz val="14"/>
      <name val="Arial"/>
      <family val="2"/>
    </font>
    <font>
      <b/>
      <sz val="18"/>
      <name val="Arial"/>
      <family val="2"/>
    </font>
    <font>
      <sz val="22"/>
      <name val="Arial"/>
      <family val="2"/>
    </font>
    <font>
      <b/>
      <sz val="8"/>
      <color rgb="FF000000"/>
      <name val="Arial"/>
      <family val="2"/>
    </font>
    <font>
      <b/>
      <sz val="9"/>
      <color rgb="FF000000"/>
      <name val="Arial"/>
      <family val="2"/>
    </font>
    <font>
      <b/>
      <sz val="12"/>
      <color theme="0"/>
      <name val="Arial"/>
      <family val="2"/>
    </font>
    <font>
      <b/>
      <sz val="10"/>
      <color theme="0"/>
      <name val="Verdana"/>
      <family val="2"/>
    </font>
    <font>
      <sz val="8"/>
      <color theme="0"/>
      <name val="Arial"/>
      <family val="2"/>
    </font>
    <font>
      <b/>
      <sz val="9"/>
      <color rgb="FFFF0000"/>
      <name val="Arial"/>
      <family val="2"/>
    </font>
    <font>
      <b/>
      <sz val="9"/>
      <name val="Arial"/>
      <family val="2"/>
    </font>
    <font>
      <sz val="9"/>
      <color theme="1"/>
      <name val="Calibri"/>
      <family val="2"/>
      <scheme val="minor"/>
    </font>
    <font>
      <b/>
      <sz val="9"/>
      <color theme="1"/>
      <name val="Calibri"/>
      <family val="2"/>
      <scheme val="minor"/>
    </font>
    <font>
      <b/>
      <sz val="12"/>
      <color rgb="FF000000"/>
      <name val="Calibri"/>
      <family val="2"/>
      <scheme val="minor"/>
    </font>
    <font>
      <sz val="10"/>
      <name val="Verdana"/>
      <family val="2"/>
    </font>
    <font>
      <sz val="10"/>
      <color theme="1"/>
      <name val="Verdana"/>
      <family val="2"/>
    </font>
    <font>
      <sz val="10"/>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499984740745262"/>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rgb="FFFFFFFF"/>
      </patternFill>
    </fill>
  </fills>
  <borders count="1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diagonal/>
    </border>
    <border>
      <left/>
      <right style="hair">
        <color indexed="64"/>
      </right>
      <top/>
      <bottom/>
      <diagonal/>
    </border>
    <border>
      <left style="hair">
        <color rgb="FF000000"/>
      </left>
      <right style="hair">
        <color rgb="FF000000"/>
      </right>
      <top style="hair">
        <color rgb="FF000000"/>
      </top>
      <bottom style="hair">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style="thick">
        <color indexed="64"/>
      </bottom>
      <diagonal/>
    </border>
    <border>
      <left style="thin">
        <color indexed="64"/>
      </left>
      <right style="thin">
        <color indexed="64"/>
      </right>
      <top style="thin">
        <color auto="1"/>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rgb="FF000000"/>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indexed="64"/>
      </right>
      <top/>
      <bottom style="hair">
        <color rgb="FF000000"/>
      </bottom>
      <diagonal/>
    </border>
    <border>
      <left style="hair">
        <color indexed="64"/>
      </left>
      <right/>
      <top style="hair">
        <color rgb="FF000000"/>
      </top>
      <bottom style="hair">
        <color rgb="FF000000"/>
      </bottom>
      <diagonal/>
    </border>
    <border>
      <left style="hair">
        <color indexed="64"/>
      </left>
      <right/>
      <top style="thin">
        <color indexed="64"/>
      </top>
      <bottom/>
      <diagonal/>
    </border>
    <border>
      <left style="hair">
        <color indexed="64"/>
      </left>
      <right/>
      <top/>
      <bottom style="hair">
        <color rgb="FF000000"/>
      </bottom>
      <diagonal/>
    </border>
    <border>
      <left/>
      <right/>
      <top/>
      <bottom style="hair">
        <color indexed="64"/>
      </bottom>
      <diagonal/>
    </border>
    <border>
      <left/>
      <right style="hair">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hair">
        <color rgb="FF000000"/>
      </right>
      <top style="thin">
        <color indexed="64"/>
      </top>
      <bottom style="hair">
        <color rgb="FF000000"/>
      </bottom>
      <diagonal/>
    </border>
    <border>
      <left/>
      <right style="hair">
        <color rgb="FF000000"/>
      </right>
      <top style="thin">
        <color indexed="64"/>
      </top>
      <bottom style="hair">
        <color rgb="FF000000"/>
      </bottom>
      <diagonal/>
    </border>
    <border>
      <left/>
      <right style="thin">
        <color indexed="64"/>
      </right>
      <top style="thin">
        <color indexed="64"/>
      </top>
      <bottom style="hair">
        <color rgb="FF000000"/>
      </bottom>
      <diagonal/>
    </border>
    <border>
      <left style="thin">
        <color indexed="64"/>
      </left>
      <right style="hair">
        <color rgb="FF000000"/>
      </right>
      <top/>
      <bottom style="hair">
        <color rgb="FF000000"/>
      </bottom>
      <diagonal/>
    </border>
    <border>
      <left/>
      <right style="thin">
        <color indexed="64"/>
      </right>
      <top/>
      <bottom style="hair">
        <color rgb="FF000000"/>
      </bottom>
      <diagonal/>
    </border>
    <border>
      <left style="thin">
        <color indexed="64"/>
      </left>
      <right/>
      <top style="hair">
        <color rgb="FF000000"/>
      </top>
      <bottom style="thin">
        <color indexed="64"/>
      </bottom>
      <diagonal/>
    </border>
    <border>
      <left/>
      <right/>
      <top style="hair">
        <color rgb="FF000000"/>
      </top>
      <bottom style="thin">
        <color indexed="64"/>
      </bottom>
      <diagonal/>
    </border>
    <border>
      <left/>
      <right style="hair">
        <color rgb="FF000000"/>
      </right>
      <top style="hair">
        <color rgb="FF000000"/>
      </top>
      <bottom style="thin">
        <color indexed="64"/>
      </bottom>
      <diagonal/>
    </border>
    <border>
      <left/>
      <right style="hair">
        <color rgb="FF000000"/>
      </right>
      <top/>
      <bottom/>
      <diagonal/>
    </border>
    <border>
      <left style="hair">
        <color indexed="64"/>
      </left>
      <right/>
      <top style="hair">
        <color rgb="FF000000"/>
      </top>
      <bottom/>
      <diagonal/>
    </border>
    <border>
      <left/>
      <right/>
      <top style="hair">
        <color rgb="FF000000"/>
      </top>
      <bottom/>
      <diagonal/>
    </border>
    <border>
      <left/>
      <right style="hair">
        <color rgb="FF000000"/>
      </right>
      <top style="hair">
        <color rgb="FF000000"/>
      </top>
      <bottom/>
      <diagonal/>
    </border>
    <border>
      <left style="thin">
        <color indexed="64"/>
      </left>
      <right style="hair">
        <color rgb="FF000000"/>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rgb="FF000000"/>
      </right>
      <top style="hair">
        <color indexed="64"/>
      </top>
      <bottom style="thin">
        <color indexed="64"/>
      </bottom>
      <diagonal/>
    </border>
    <border>
      <left/>
      <right style="hair">
        <color rgb="FF000000"/>
      </right>
      <top style="thin">
        <color indexed="64"/>
      </top>
      <bottom/>
      <diagonal/>
    </border>
    <border>
      <left style="hair">
        <color indexed="64"/>
      </left>
      <right/>
      <top style="thin">
        <color indexed="64"/>
      </top>
      <bottom style="hair">
        <color rgb="FF000000"/>
      </bottom>
      <diagonal/>
    </border>
    <border>
      <left/>
      <right/>
      <top style="thin">
        <color indexed="64"/>
      </top>
      <bottom style="hair">
        <color rgb="FF000000"/>
      </bottom>
      <diagonal/>
    </border>
    <border>
      <left style="hair">
        <color rgb="FF000000"/>
      </left>
      <right style="hair">
        <color rgb="FF000000"/>
      </right>
      <top style="thin">
        <color indexed="64"/>
      </top>
      <bottom style="hair">
        <color rgb="FF000000"/>
      </bottom>
      <diagonal/>
    </border>
    <border>
      <left/>
      <right style="thin">
        <color indexed="64"/>
      </right>
      <top style="hair">
        <color rgb="FF000000"/>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indexed="64"/>
      </right>
      <top style="hair">
        <color indexed="64"/>
      </top>
      <bottom style="thin">
        <color auto="1"/>
      </bottom>
      <diagonal/>
    </border>
    <border>
      <left style="thin">
        <color indexed="64"/>
      </left>
      <right/>
      <top/>
      <bottom style="hair">
        <color rgb="FF000000"/>
      </bottom>
      <diagonal/>
    </border>
    <border>
      <left style="hair">
        <color indexed="64"/>
      </left>
      <right/>
      <top style="thin">
        <color indexed="64"/>
      </top>
      <bottom style="thin">
        <color indexed="64"/>
      </bottom>
      <diagonal/>
    </border>
    <border>
      <left style="hair">
        <color indexed="64"/>
      </left>
      <right style="hair">
        <color rgb="FF000000"/>
      </right>
      <top style="hair">
        <color rgb="FF000000"/>
      </top>
      <bottom style="hair">
        <color rgb="FF000000"/>
      </bottom>
      <diagonal/>
    </border>
    <border>
      <left/>
      <right style="hair">
        <color indexed="64"/>
      </right>
      <top style="hair">
        <color rgb="FF000000"/>
      </top>
      <bottom style="hair">
        <color rgb="FF000000"/>
      </bottom>
      <diagonal/>
    </border>
    <border>
      <left style="hair">
        <color indexed="64"/>
      </left>
      <right/>
      <top style="hair">
        <color rgb="FF000000"/>
      </top>
      <bottom style="thin">
        <color indexed="64"/>
      </bottom>
      <diagonal/>
    </border>
    <border>
      <left style="thin">
        <color indexed="64"/>
      </left>
      <right style="hair">
        <color rgb="FF000000"/>
      </right>
      <top/>
      <bottom style="thin">
        <color indexed="64"/>
      </bottom>
      <diagonal/>
    </border>
    <border>
      <left/>
      <right style="hair">
        <color rgb="FF000000"/>
      </right>
      <top/>
      <bottom style="thin">
        <color indexed="64"/>
      </bottom>
      <diagonal/>
    </border>
    <border>
      <left style="thin">
        <color rgb="FFFF0000"/>
      </left>
      <right style="thin">
        <color rgb="FFFF0000"/>
      </right>
      <top style="thin">
        <color rgb="FFFF0000"/>
      </top>
      <bottom style="thin">
        <color rgb="FFFF0000"/>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thin">
        <color indexed="64"/>
      </top>
      <bottom style="thin">
        <color indexed="64"/>
      </bottom>
      <diagonal/>
    </border>
    <border>
      <left style="thin">
        <color rgb="FF000000"/>
      </left>
      <right style="hair">
        <color rgb="FF000000"/>
      </right>
      <top style="thin">
        <color indexed="64"/>
      </top>
      <bottom style="thin">
        <color indexed="64"/>
      </bottom>
      <diagonal/>
    </border>
    <border>
      <left style="thin">
        <color indexed="64"/>
      </left>
      <right style="thin">
        <color rgb="FF000000"/>
      </right>
      <top style="hair">
        <color indexed="64"/>
      </top>
      <bottom style="hair">
        <color indexed="64"/>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indexed="64"/>
      </left>
      <right style="hair">
        <color rgb="FF000000"/>
      </right>
      <top style="hair">
        <color rgb="FF000000"/>
      </top>
      <bottom style="hair">
        <color rgb="FF000000"/>
      </bottom>
      <diagonal/>
    </border>
    <border>
      <left style="hair">
        <color rgb="FF000000"/>
      </left>
      <right style="hair">
        <color rgb="FF000000"/>
      </right>
      <top style="thin">
        <color indexed="64"/>
      </top>
      <bottom style="thin">
        <color indexed="64"/>
      </bottom>
      <diagonal/>
    </border>
    <border>
      <left style="hair">
        <color rgb="FF000000"/>
      </left>
      <right style="thin">
        <color rgb="FF000000"/>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FF0000"/>
      </right>
      <top/>
      <bottom/>
      <diagonal/>
    </border>
    <border>
      <left style="thin">
        <color rgb="FFFF0000"/>
      </left>
      <right style="thin">
        <color rgb="FFFF0000"/>
      </right>
      <top/>
      <bottom style="thin">
        <color rgb="FFFF0000"/>
      </bottom>
      <diagonal/>
    </border>
    <border>
      <left style="thin">
        <color rgb="FFFF0000"/>
      </left>
      <right style="thin">
        <color auto="1"/>
      </right>
      <top style="thin">
        <color auto="1"/>
      </top>
      <bottom style="thin">
        <color auto="1"/>
      </bottom>
      <diagonal/>
    </border>
    <border>
      <left style="thin">
        <color indexed="64"/>
      </left>
      <right style="thin">
        <color rgb="FF000000"/>
      </right>
      <top style="hair">
        <color rgb="FF000000"/>
      </top>
      <bottom style="thin">
        <color indexed="64"/>
      </bottom>
      <diagonal/>
    </border>
    <border>
      <left style="hair">
        <color indexed="64"/>
      </left>
      <right style="thin">
        <color rgb="FF000000"/>
      </right>
      <top style="thin">
        <color indexed="64"/>
      </top>
      <bottom style="hair">
        <color indexed="64"/>
      </bottom>
      <diagonal/>
    </border>
    <border>
      <left style="hair">
        <color indexed="64"/>
      </left>
      <right style="thin">
        <color rgb="FF000000"/>
      </right>
      <top style="hair">
        <color indexed="64"/>
      </top>
      <bottom style="hair">
        <color indexed="64"/>
      </bottom>
      <diagonal/>
    </border>
    <border>
      <left style="hair">
        <color indexed="64"/>
      </left>
      <right style="hair">
        <color indexed="64"/>
      </right>
      <top style="hair">
        <color indexed="64"/>
      </top>
      <bottom style="hair">
        <color rgb="FF000000"/>
      </bottom>
      <diagonal/>
    </border>
    <border>
      <left style="hair">
        <color indexed="64"/>
      </left>
      <right style="hair">
        <color indexed="64"/>
      </right>
      <top style="hair">
        <color indexed="64"/>
      </top>
      <bottom style="thin">
        <color rgb="FF000000"/>
      </bottom>
      <diagonal/>
    </border>
    <border>
      <left style="hair">
        <color indexed="64"/>
      </left>
      <right style="thin">
        <color rgb="FF000000"/>
      </right>
      <top style="hair">
        <color indexed="64"/>
      </top>
      <bottom style="hair">
        <color rgb="FF000000"/>
      </bottom>
      <diagonal/>
    </border>
    <border>
      <left style="thin">
        <color indexed="64"/>
      </left>
      <right style="hair">
        <color indexed="64"/>
      </right>
      <top style="hair">
        <color indexed="64"/>
      </top>
      <bottom/>
      <diagonal/>
    </border>
    <border>
      <left style="thin">
        <color rgb="FFFF0000"/>
      </left>
      <right style="thin">
        <color rgb="FFFF0000"/>
      </right>
      <top/>
      <bottom/>
      <diagonal/>
    </border>
    <border>
      <left style="thin">
        <color rgb="FFFF0000"/>
      </left>
      <right style="thin">
        <color auto="1"/>
      </right>
      <top/>
      <bottom style="thin">
        <color auto="1"/>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right style="hair">
        <color rgb="FF000000"/>
      </right>
      <top style="thin">
        <color indexed="64"/>
      </top>
      <bottom style="thin">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36" fillId="0" borderId="0"/>
    <xf numFmtId="44" fontId="19" fillId="0" borderId="0" applyFont="0" applyFill="0" applyBorder="0" applyAlignment="0" applyProtection="0"/>
    <xf numFmtId="0" fontId="19" fillId="0" borderId="0"/>
    <xf numFmtId="43" fontId="19" fillId="0" borderId="0" applyFont="0" applyFill="0" applyBorder="0" applyAlignment="0" applyProtection="0"/>
  </cellStyleXfs>
  <cellXfs count="797">
    <xf numFmtId="0" fontId="0" fillId="0" borderId="0" xfId="0"/>
    <xf numFmtId="0" fontId="18" fillId="0" borderId="0" xfId="0" applyFont="1"/>
    <xf numFmtId="4" fontId="18" fillId="0" borderId="0" xfId="0" applyNumberFormat="1" applyFont="1"/>
    <xf numFmtId="0" fontId="20" fillId="0" borderId="12" xfId="0" applyFont="1" applyBorder="1" applyAlignment="1">
      <alignment horizontal="left" vertical="top" wrapText="1"/>
    </xf>
    <xf numFmtId="0" fontId="20" fillId="0" borderId="12" xfId="0" applyFont="1" applyBorder="1" applyAlignment="1">
      <alignment horizontal="center" vertical="top" wrapText="1"/>
    </xf>
    <xf numFmtId="4" fontId="20" fillId="0" borderId="12" xfId="0" applyNumberFormat="1" applyFont="1" applyBorder="1" applyAlignment="1">
      <alignment horizontal="right" vertical="top" wrapText="1"/>
    </xf>
    <xf numFmtId="0" fontId="21" fillId="0" borderId="12" xfId="0" applyFont="1" applyBorder="1" applyAlignment="1">
      <alignment horizontal="right" vertical="top" wrapText="1"/>
    </xf>
    <xf numFmtId="0" fontId="20" fillId="0" borderId="22" xfId="0" applyFont="1" applyBorder="1" applyAlignment="1">
      <alignment horizontal="left" vertical="top" wrapText="1"/>
    </xf>
    <xf numFmtId="4" fontId="21" fillId="0" borderId="23" xfId="0" applyNumberFormat="1" applyFont="1" applyBorder="1" applyAlignment="1">
      <alignment horizontal="right" vertical="top" wrapText="1"/>
    </xf>
    <xf numFmtId="165" fontId="23" fillId="33" borderId="24" xfId="43" applyNumberFormat="1" applyFont="1" applyFill="1" applyBorder="1" applyAlignment="1">
      <alignment horizontal="center" vertical="center"/>
    </xf>
    <xf numFmtId="0" fontId="18" fillId="0" borderId="25" xfId="0" applyFont="1" applyBorder="1"/>
    <xf numFmtId="4" fontId="18" fillId="0" borderId="25" xfId="0" applyNumberFormat="1" applyFont="1" applyBorder="1"/>
    <xf numFmtId="4" fontId="18" fillId="0" borderId="26" xfId="0" applyNumberFormat="1" applyFont="1" applyBorder="1"/>
    <xf numFmtId="0" fontId="18" fillId="0" borderId="27" xfId="0" applyFont="1" applyBorder="1"/>
    <xf numFmtId="4" fontId="18" fillId="0" borderId="28" xfId="0" applyNumberFormat="1" applyFont="1" applyBorder="1"/>
    <xf numFmtId="0" fontId="18" fillId="0" borderId="29" xfId="0" applyFont="1" applyBorder="1"/>
    <xf numFmtId="4" fontId="18" fillId="0" borderId="31" xfId="0" applyNumberFormat="1" applyFont="1" applyBorder="1"/>
    <xf numFmtId="165" fontId="29" fillId="35" borderId="32" xfId="43" applyNumberFormat="1" applyFont="1" applyFill="1" applyBorder="1" applyAlignment="1">
      <alignment horizontal="center" vertical="center" wrapText="1"/>
    </xf>
    <xf numFmtId="43" fontId="29" fillId="35" borderId="32" xfId="43" applyFont="1" applyFill="1" applyBorder="1" applyAlignment="1">
      <alignment horizontal="center" vertical="center" wrapText="1"/>
    </xf>
    <xf numFmtId="43" fontId="29" fillId="35" borderId="41" xfId="43" applyFont="1" applyFill="1" applyBorder="1" applyAlignment="1">
      <alignment horizontal="center" vertical="center"/>
    </xf>
    <xf numFmtId="9" fontId="29" fillId="35" borderId="40" xfId="42" applyFont="1" applyFill="1" applyBorder="1" applyAlignment="1">
      <alignment horizontal="center" vertical="center" wrapText="1"/>
    </xf>
    <xf numFmtId="43" fontId="26" fillId="33" borderId="32" xfId="43" applyFont="1" applyFill="1" applyBorder="1" applyAlignment="1">
      <alignment vertical="center"/>
    </xf>
    <xf numFmtId="10" fontId="30" fillId="33" borderId="33" xfId="43" applyNumberFormat="1" applyFont="1" applyFill="1" applyBorder="1" applyAlignment="1">
      <alignment vertical="center"/>
    </xf>
    <xf numFmtId="43" fontId="26" fillId="33" borderId="33" xfId="43" applyFont="1" applyFill="1" applyBorder="1" applyAlignment="1">
      <alignment vertical="center"/>
    </xf>
    <xf numFmtId="0" fontId="30" fillId="33" borderId="33" xfId="0" applyFont="1" applyFill="1" applyBorder="1" applyAlignment="1">
      <alignment horizontal="left" vertical="center" indent="1"/>
    </xf>
    <xf numFmtId="0" fontId="26" fillId="33" borderId="16" xfId="0" applyFont="1" applyFill="1" applyBorder="1" applyAlignment="1">
      <alignment horizontal="left" vertical="center" indent="3"/>
    </xf>
    <xf numFmtId="43" fontId="26" fillId="33" borderId="34" xfId="43" applyFont="1" applyFill="1" applyBorder="1" applyAlignment="1">
      <alignment vertical="center"/>
    </xf>
    <xf numFmtId="10" fontId="30" fillId="33" borderId="34" xfId="43" applyNumberFormat="1" applyFont="1" applyFill="1" applyBorder="1" applyAlignment="1">
      <alignment vertical="center"/>
    </xf>
    <xf numFmtId="165" fontId="24" fillId="35" borderId="34" xfId="43" applyNumberFormat="1" applyFont="1" applyFill="1" applyBorder="1" applyAlignment="1">
      <alignment horizontal="left" vertical="center" indent="1"/>
    </xf>
    <xf numFmtId="43" fontId="23" fillId="35" borderId="40" xfId="43" applyFont="1" applyFill="1" applyBorder="1" applyAlignment="1">
      <alignment vertical="center"/>
    </xf>
    <xf numFmtId="10" fontId="23" fillId="35" borderId="34" xfId="42" applyNumberFormat="1" applyFont="1" applyFill="1" applyBorder="1" applyAlignment="1">
      <alignment horizontal="center" vertical="center"/>
    </xf>
    <xf numFmtId="165" fontId="24" fillId="33" borderId="40" xfId="43" applyNumberFormat="1" applyFont="1" applyFill="1" applyBorder="1" applyAlignment="1">
      <alignment vertical="center"/>
    </xf>
    <xf numFmtId="43" fontId="23" fillId="33" borderId="40" xfId="43" applyFont="1" applyFill="1" applyBorder="1" applyAlignment="1">
      <alignment horizontal="right" vertical="center"/>
    </xf>
    <xf numFmtId="166" fontId="26" fillId="33" borderId="40" xfId="43" applyNumberFormat="1" applyFont="1" applyFill="1" applyBorder="1" applyAlignment="1">
      <alignment horizontal="center" vertical="center"/>
    </xf>
    <xf numFmtId="9" fontId="23" fillId="33" borderId="40" xfId="42" applyFont="1" applyFill="1" applyBorder="1" applyAlignment="1">
      <alignment horizontal="center" vertical="center"/>
    </xf>
    <xf numFmtId="165" fontId="24" fillId="35" borderId="40" xfId="43" applyNumberFormat="1" applyFont="1" applyFill="1" applyBorder="1" applyAlignment="1">
      <alignment vertical="center"/>
    </xf>
    <xf numFmtId="9" fontId="23" fillId="35" borderId="40" xfId="42" applyFont="1" applyFill="1" applyBorder="1" applyAlignment="1">
      <alignment horizontal="center" vertical="center"/>
    </xf>
    <xf numFmtId="165" fontId="24" fillId="33" borderId="0" xfId="43" applyNumberFormat="1" applyFont="1" applyFill="1" applyBorder="1" applyAlignment="1">
      <alignment horizontal="left" vertical="center" indent="1"/>
    </xf>
    <xf numFmtId="43" fontId="23" fillId="33" borderId="0" xfId="43" applyFont="1" applyFill="1" applyBorder="1" applyAlignment="1">
      <alignment horizontal="left" vertical="center"/>
    </xf>
    <xf numFmtId="43" fontId="24" fillId="33" borderId="0" xfId="43" applyFont="1" applyFill="1" applyBorder="1" applyAlignment="1">
      <alignment vertical="center"/>
    </xf>
    <xf numFmtId="165" fontId="25" fillId="33" borderId="13" xfId="43" applyNumberFormat="1" applyFont="1" applyFill="1" applyBorder="1" applyAlignment="1">
      <alignment horizontal="center" vertical="center"/>
    </xf>
    <xf numFmtId="165" fontId="24" fillId="33" borderId="16" xfId="43" applyNumberFormat="1" applyFont="1" applyFill="1" applyBorder="1" applyAlignment="1">
      <alignment horizontal="left" vertical="center" indent="1"/>
    </xf>
    <xf numFmtId="165" fontId="24" fillId="33" borderId="35" xfId="43" applyNumberFormat="1" applyFont="1" applyFill="1" applyBorder="1" applyAlignment="1">
      <alignment horizontal="left" vertical="center" indent="1"/>
    </xf>
    <xf numFmtId="168" fontId="26" fillId="33" borderId="32" xfId="43" applyNumberFormat="1" applyFont="1" applyFill="1" applyBorder="1" applyAlignment="1">
      <alignment vertical="center"/>
    </xf>
    <xf numFmtId="43" fontId="33" fillId="0" borderId="42" xfId="0" applyNumberFormat="1" applyFont="1" applyBorder="1" applyAlignment="1">
      <alignment horizontal="center"/>
    </xf>
    <xf numFmtId="0" fontId="33" fillId="0" borderId="43" xfId="0" applyFont="1" applyBorder="1" applyAlignment="1">
      <alignment horizontal="center"/>
    </xf>
    <xf numFmtId="43" fontId="26" fillId="33" borderId="16" xfId="43" applyFont="1" applyFill="1" applyBorder="1" applyAlignment="1">
      <alignment vertical="center"/>
    </xf>
    <xf numFmtId="168" fontId="26" fillId="33" borderId="33" xfId="43" applyNumberFormat="1" applyFont="1" applyFill="1" applyBorder="1" applyAlignment="1">
      <alignment vertical="center"/>
    </xf>
    <xf numFmtId="9" fontId="33" fillId="0" borderId="44" xfId="42" applyFont="1" applyBorder="1" applyAlignment="1">
      <alignment horizontal="center"/>
    </xf>
    <xf numFmtId="43" fontId="26" fillId="33" borderId="45" xfId="43" applyFont="1" applyFill="1" applyBorder="1" applyAlignment="1">
      <alignment vertical="center"/>
    </xf>
    <xf numFmtId="168" fontId="26" fillId="33" borderId="45" xfId="43" applyNumberFormat="1" applyFont="1" applyFill="1" applyBorder="1" applyAlignment="1">
      <alignment vertical="center"/>
    </xf>
    <xf numFmtId="43" fontId="33" fillId="0" borderId="45" xfId="0" applyNumberFormat="1" applyFont="1" applyBorder="1" applyAlignment="1">
      <alignment horizontal="center"/>
    </xf>
    <xf numFmtId="43" fontId="33" fillId="0" borderId="46" xfId="0" applyNumberFormat="1" applyFont="1" applyBorder="1" applyAlignment="1">
      <alignment horizontal="center"/>
    </xf>
    <xf numFmtId="43" fontId="26" fillId="33" borderId="44" xfId="43" applyFont="1" applyFill="1" applyBorder="1" applyAlignment="1">
      <alignment vertical="center"/>
    </xf>
    <xf numFmtId="43" fontId="26" fillId="33" borderId="18" xfId="43" applyFont="1" applyFill="1" applyBorder="1" applyAlignment="1">
      <alignment vertical="center"/>
    </xf>
    <xf numFmtId="43" fontId="26" fillId="33" borderId="19" xfId="43" applyFont="1" applyFill="1" applyBorder="1" applyAlignment="1">
      <alignment vertical="center"/>
    </xf>
    <xf numFmtId="168" fontId="26" fillId="33" borderId="44" xfId="43" applyNumberFormat="1" applyFont="1" applyFill="1" applyBorder="1" applyAlignment="1">
      <alignment vertical="center"/>
    </xf>
    <xf numFmtId="9" fontId="33" fillId="0" borderId="47" xfId="42" applyFont="1" applyBorder="1" applyAlignment="1">
      <alignment horizontal="center"/>
    </xf>
    <xf numFmtId="0" fontId="33" fillId="0" borderId="44" xfId="0" applyFont="1" applyBorder="1" applyAlignment="1">
      <alignment horizontal="center"/>
    </xf>
    <xf numFmtId="0" fontId="30" fillId="33" borderId="45" xfId="0" applyFont="1" applyFill="1" applyBorder="1" applyAlignment="1">
      <alignment horizontal="left" vertical="center" indent="1"/>
    </xf>
    <xf numFmtId="43" fontId="33" fillId="0" borderId="48" xfId="0" applyNumberFormat="1" applyFont="1" applyBorder="1" applyAlignment="1">
      <alignment horizontal="center"/>
    </xf>
    <xf numFmtId="0" fontId="33" fillId="0" borderId="46" xfId="0" applyFont="1" applyBorder="1" applyAlignment="1">
      <alignment horizontal="center"/>
    </xf>
    <xf numFmtId="0" fontId="30" fillId="33" borderId="44" xfId="0" applyFont="1" applyFill="1" applyBorder="1" applyAlignment="1">
      <alignment horizontal="left" vertical="center" indent="1"/>
    </xf>
    <xf numFmtId="0" fontId="26" fillId="33" borderId="18" xfId="0" applyFont="1" applyFill="1" applyBorder="1" applyAlignment="1">
      <alignment horizontal="left" vertical="center" indent="3"/>
    </xf>
    <xf numFmtId="0" fontId="26" fillId="33" borderId="19" xfId="0" applyFont="1" applyFill="1" applyBorder="1" applyAlignment="1">
      <alignment horizontal="left" vertical="center" indent="3"/>
    </xf>
    <xf numFmtId="9" fontId="33" fillId="0" borderId="46" xfId="42" applyFont="1" applyBorder="1" applyAlignment="1">
      <alignment horizontal="center"/>
    </xf>
    <xf numFmtId="43" fontId="26" fillId="33" borderId="46" xfId="43" applyFont="1" applyFill="1" applyBorder="1" applyAlignment="1">
      <alignment vertical="center"/>
    </xf>
    <xf numFmtId="168" fontId="26" fillId="33" borderId="46" xfId="43" applyNumberFormat="1" applyFont="1" applyFill="1" applyBorder="1" applyAlignment="1">
      <alignment vertical="center"/>
    </xf>
    <xf numFmtId="43" fontId="33" fillId="0" borderId="48" xfId="43" applyFont="1" applyBorder="1" applyAlignment="1" applyProtection="1">
      <alignment horizontal="center"/>
      <protection locked="0"/>
    </xf>
    <xf numFmtId="9" fontId="33" fillId="0" borderId="44" xfId="42" applyFont="1" applyBorder="1" applyAlignment="1" applyProtection="1">
      <alignment horizontal="center"/>
      <protection locked="0"/>
    </xf>
    <xf numFmtId="9" fontId="33" fillId="0" borderId="47" xfId="42" applyFont="1" applyBorder="1" applyAlignment="1" applyProtection="1">
      <alignment horizontal="center"/>
      <protection locked="0"/>
    </xf>
    <xf numFmtId="0" fontId="33" fillId="0" borderId="45" xfId="0" applyFont="1" applyBorder="1" applyAlignment="1">
      <alignment horizontal="center"/>
    </xf>
    <xf numFmtId="168" fontId="26" fillId="33" borderId="34" xfId="43" applyNumberFormat="1" applyFont="1" applyFill="1" applyBorder="1" applyAlignment="1">
      <alignment vertical="center"/>
    </xf>
    <xf numFmtId="9" fontId="33" fillId="0" borderId="34" xfId="42" applyFont="1" applyBorder="1" applyAlignment="1">
      <alignment horizontal="center"/>
    </xf>
    <xf numFmtId="43" fontId="23" fillId="0" borderId="40" xfId="43" applyFont="1" applyFill="1" applyBorder="1" applyAlignment="1">
      <alignment horizontal="center" vertical="center"/>
    </xf>
    <xf numFmtId="10" fontId="23" fillId="0" borderId="34" xfId="42" applyNumberFormat="1" applyFont="1" applyFill="1" applyBorder="1" applyAlignment="1">
      <alignment horizontal="center" vertical="center"/>
    </xf>
    <xf numFmtId="43" fontId="33" fillId="0" borderId="43" xfId="0" applyNumberFormat="1" applyFont="1" applyBorder="1" applyAlignment="1">
      <alignment horizontal="center"/>
    </xf>
    <xf numFmtId="43" fontId="23" fillId="0" borderId="40" xfId="43" applyFont="1" applyFill="1" applyBorder="1" applyAlignment="1">
      <alignment vertical="center"/>
    </xf>
    <xf numFmtId="9" fontId="23" fillId="0" borderId="40" xfId="42" applyFont="1" applyFill="1" applyBorder="1" applyAlignment="1">
      <alignment horizontal="center" vertical="center"/>
    </xf>
    <xf numFmtId="10" fontId="33" fillId="0" borderId="46" xfId="42" applyNumberFormat="1" applyFont="1" applyBorder="1" applyAlignment="1">
      <alignment horizontal="center"/>
    </xf>
    <xf numFmtId="0" fontId="0" fillId="0" borderId="40" xfId="0" applyBorder="1" applyAlignment="1">
      <alignment horizontal="center" vertical="center" wrapText="1"/>
    </xf>
    <xf numFmtId="10" fontId="33" fillId="0" borderId="51" xfId="42" applyNumberFormat="1" applyFont="1" applyBorder="1" applyAlignment="1">
      <alignment horizontal="center"/>
    </xf>
    <xf numFmtId="43" fontId="26" fillId="33" borderId="35" xfId="43" applyFont="1" applyFill="1" applyBorder="1" applyAlignment="1">
      <alignment vertical="center"/>
    </xf>
    <xf numFmtId="43" fontId="23" fillId="35" borderId="38" xfId="43" applyFont="1" applyFill="1" applyBorder="1" applyAlignment="1">
      <alignment horizontal="right" vertical="center"/>
    </xf>
    <xf numFmtId="43" fontId="23" fillId="35" borderId="40" xfId="43" applyFont="1" applyFill="1" applyBorder="1" applyAlignment="1">
      <alignment horizontal="right" vertical="center"/>
    </xf>
    <xf numFmtId="0" fontId="20" fillId="0" borderId="53" xfId="0" applyFont="1" applyBorder="1" applyAlignment="1">
      <alignment horizontal="left" vertical="top" wrapText="1"/>
    </xf>
    <xf numFmtId="43" fontId="26" fillId="33" borderId="17" xfId="43" applyFont="1" applyFill="1" applyBorder="1" applyAlignment="1">
      <alignment vertical="center"/>
    </xf>
    <xf numFmtId="0" fontId="26" fillId="33" borderId="17" xfId="0" applyFont="1" applyFill="1" applyBorder="1" applyAlignment="1">
      <alignment horizontal="left" vertical="center" indent="3"/>
    </xf>
    <xf numFmtId="43" fontId="26" fillId="33" borderId="21" xfId="43" applyFont="1" applyFill="1" applyBorder="1" applyAlignment="1">
      <alignment vertical="center"/>
    </xf>
    <xf numFmtId="0" fontId="34" fillId="0" borderId="53" xfId="0" applyFont="1" applyBorder="1" applyAlignment="1">
      <alignment horizontal="center" vertical="top" wrapText="1"/>
    </xf>
    <xf numFmtId="169" fontId="18" fillId="0" borderId="53" xfId="0" applyNumberFormat="1" applyFont="1" applyBorder="1" applyAlignment="1">
      <alignment horizontal="right" vertical="top" wrapText="1"/>
    </xf>
    <xf numFmtId="4" fontId="18" fillId="0" borderId="53" xfId="0" applyNumberFormat="1" applyFont="1" applyBorder="1" applyAlignment="1">
      <alignment horizontal="right" vertical="top" wrapText="1"/>
    </xf>
    <xf numFmtId="4" fontId="18" fillId="0" borderId="57" xfId="0" applyNumberFormat="1" applyFont="1" applyBorder="1" applyAlignment="1">
      <alignment horizontal="right" vertical="top" wrapText="1"/>
    </xf>
    <xf numFmtId="0" fontId="18" fillId="0" borderId="53" xfId="0" applyFont="1" applyBorder="1" applyAlignment="1">
      <alignment horizontal="left" vertical="top" wrapText="1"/>
    </xf>
    <xf numFmtId="0" fontId="18" fillId="0" borderId="53" xfId="0" applyFont="1" applyBorder="1" applyAlignment="1">
      <alignment horizontal="center" vertical="top" wrapText="1"/>
    </xf>
    <xf numFmtId="4" fontId="34" fillId="0" borderId="57" xfId="0" applyNumberFormat="1" applyFont="1" applyBorder="1" applyAlignment="1">
      <alignment horizontal="right" vertical="top" wrapText="1"/>
    </xf>
    <xf numFmtId="0" fontId="20" fillId="0" borderId="53" xfId="0" applyFont="1" applyBorder="1" applyAlignment="1">
      <alignment horizontal="center" vertical="top" wrapText="1"/>
    </xf>
    <xf numFmtId="43" fontId="30" fillId="33" borderId="33" xfId="43" applyFont="1" applyFill="1" applyBorder="1" applyAlignment="1">
      <alignment horizontal="left" vertical="center"/>
    </xf>
    <xf numFmtId="43" fontId="26" fillId="33" borderId="16" xfId="43" applyFont="1" applyFill="1" applyBorder="1" applyAlignment="1">
      <alignment horizontal="left" vertical="center"/>
    </xf>
    <xf numFmtId="43" fontId="0" fillId="0" borderId="17" xfId="43" applyFont="1" applyBorder="1" applyProtection="1"/>
    <xf numFmtId="43" fontId="26" fillId="33" borderId="13" xfId="43" applyFont="1" applyFill="1" applyBorder="1" applyAlignment="1">
      <alignment vertical="center"/>
    </xf>
    <xf numFmtId="0" fontId="26" fillId="33" borderId="20" xfId="0" applyFont="1" applyFill="1" applyBorder="1" applyAlignment="1">
      <alignment horizontal="left" vertical="center" indent="3"/>
    </xf>
    <xf numFmtId="0" fontId="26" fillId="33" borderId="21" xfId="0" applyFont="1" applyFill="1" applyBorder="1" applyAlignment="1">
      <alignment horizontal="left" vertical="center" indent="3"/>
    </xf>
    <xf numFmtId="170" fontId="18" fillId="0" borderId="53" xfId="0" applyNumberFormat="1" applyFont="1" applyBorder="1" applyAlignment="1">
      <alignment horizontal="right" vertical="top" wrapText="1"/>
    </xf>
    <xf numFmtId="0" fontId="26" fillId="33" borderId="21"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1" xfId="0" applyBorder="1" applyAlignment="1">
      <alignment horizontal="left" vertical="center" indent="3"/>
    </xf>
    <xf numFmtId="43" fontId="26" fillId="33" borderId="20" xfId="43" applyFont="1" applyFill="1" applyBorder="1" applyAlignment="1">
      <alignment vertical="center" wrapText="1"/>
    </xf>
    <xf numFmtId="43" fontId="26" fillId="33" borderId="21" xfId="43" applyFont="1" applyFill="1" applyBorder="1" applyAlignment="1">
      <alignment vertical="center" wrapText="1"/>
    </xf>
    <xf numFmtId="43" fontId="26" fillId="33" borderId="45" xfId="0" applyNumberFormat="1" applyFont="1" applyFill="1" applyBorder="1" applyAlignment="1">
      <alignment horizontal="left" vertical="center" indent="1"/>
    </xf>
    <xf numFmtId="43" fontId="26" fillId="33" borderId="20" xfId="0" applyNumberFormat="1" applyFont="1" applyFill="1" applyBorder="1" applyAlignment="1">
      <alignment horizontal="left" vertical="center" indent="3"/>
    </xf>
    <xf numFmtId="0" fontId="26" fillId="33" borderId="61" xfId="0" applyFont="1" applyFill="1" applyBorder="1" applyAlignment="1">
      <alignment horizontal="left" vertical="center" indent="3"/>
    </xf>
    <xf numFmtId="43" fontId="30" fillId="33" borderId="45" xfId="43" applyFont="1" applyFill="1" applyBorder="1" applyAlignment="1">
      <alignment vertical="center"/>
    </xf>
    <xf numFmtId="43" fontId="30" fillId="33" borderId="33" xfId="43" applyFont="1" applyFill="1" applyBorder="1" applyAlignment="1">
      <alignment vertical="center"/>
    </xf>
    <xf numFmtId="43" fontId="30" fillId="33" borderId="44" xfId="43" applyFont="1" applyFill="1" applyBorder="1" applyAlignment="1">
      <alignment vertical="center"/>
    </xf>
    <xf numFmtId="0" fontId="34" fillId="0" borderId="56" xfId="0" applyFont="1" applyBorder="1" applyAlignment="1">
      <alignment horizontal="left" vertical="top" wrapText="1"/>
    </xf>
    <xf numFmtId="0" fontId="34" fillId="0" borderId="53" xfId="0" applyFont="1" applyBorder="1" applyAlignment="1">
      <alignment horizontal="left" vertical="top" wrapText="1"/>
    </xf>
    <xf numFmtId="0" fontId="34" fillId="0" borderId="65" xfId="0" applyFont="1" applyBorder="1" applyAlignment="1">
      <alignment horizontal="left" vertical="top" wrapText="1"/>
    </xf>
    <xf numFmtId="0" fontId="34" fillId="0" borderId="65" xfId="0" applyFont="1" applyBorder="1" applyAlignment="1">
      <alignment horizontal="center" vertical="top" wrapText="1"/>
    </xf>
    <xf numFmtId="169" fontId="18" fillId="0" borderId="65" xfId="0" applyNumberFormat="1" applyFont="1" applyBorder="1" applyAlignment="1">
      <alignment horizontal="right" vertical="top" wrapText="1"/>
    </xf>
    <xf numFmtId="4" fontId="18" fillId="0" borderId="65" xfId="0" applyNumberFormat="1" applyFont="1" applyBorder="1" applyAlignment="1">
      <alignment horizontal="right" vertical="top" wrapText="1"/>
    </xf>
    <xf numFmtId="4" fontId="18" fillId="0" borderId="66" xfId="0" applyNumberFormat="1" applyFont="1" applyBorder="1" applyAlignment="1">
      <alignment horizontal="right" vertical="top" wrapText="1"/>
    </xf>
    <xf numFmtId="171" fontId="18" fillId="0" borderId="53" xfId="0" applyNumberFormat="1" applyFont="1" applyBorder="1" applyAlignment="1">
      <alignment horizontal="right" vertical="top" wrapText="1"/>
    </xf>
    <xf numFmtId="4" fontId="18" fillId="0" borderId="68" xfId="0" applyNumberFormat="1" applyFont="1" applyBorder="1" applyAlignment="1">
      <alignment horizontal="right" vertical="top" wrapText="1"/>
    </xf>
    <xf numFmtId="4" fontId="34" fillId="0" borderId="37" xfId="0" applyNumberFormat="1" applyFont="1" applyBorder="1" applyAlignment="1">
      <alignment horizontal="right" vertical="top" wrapText="1"/>
    </xf>
    <xf numFmtId="4" fontId="34" fillId="0" borderId="0" xfId="0" applyNumberFormat="1" applyFont="1" applyAlignment="1">
      <alignment horizontal="right" vertical="top" wrapText="1"/>
    </xf>
    <xf numFmtId="4" fontId="34" fillId="0" borderId="37" xfId="0" applyNumberFormat="1" applyFont="1" applyBorder="1" applyAlignment="1">
      <alignment horizontal="right" vertical="top"/>
    </xf>
    <xf numFmtId="170" fontId="18" fillId="0" borderId="65" xfId="0" applyNumberFormat="1" applyFont="1" applyBorder="1" applyAlignment="1">
      <alignment horizontal="right" vertical="top" wrapText="1"/>
    </xf>
    <xf numFmtId="0" fontId="34" fillId="0" borderId="56" xfId="0" applyFont="1" applyBorder="1" applyAlignment="1">
      <alignment horizontal="center" vertical="top" wrapText="1"/>
    </xf>
    <xf numFmtId="169" fontId="18" fillId="0" borderId="56" xfId="0" applyNumberFormat="1" applyFont="1" applyBorder="1" applyAlignment="1">
      <alignment horizontal="right" vertical="top" wrapText="1"/>
    </xf>
    <xf numFmtId="4" fontId="18" fillId="0" borderId="56" xfId="0" applyNumberFormat="1" applyFont="1" applyBorder="1" applyAlignment="1">
      <alignment horizontal="right" vertical="top" wrapText="1"/>
    </xf>
    <xf numFmtId="4" fontId="18" fillId="0" borderId="98" xfId="0" applyNumberFormat="1" applyFont="1" applyBorder="1" applyAlignment="1">
      <alignment horizontal="right" vertical="top" wrapText="1"/>
    </xf>
    <xf numFmtId="0" fontId="18" fillId="0" borderId="0" xfId="0" applyFont="1" applyAlignment="1">
      <alignment horizontal="right" vertical="top" wrapText="1"/>
    </xf>
    <xf numFmtId="0" fontId="18" fillId="0" borderId="0" xfId="0" applyFont="1" applyAlignment="1">
      <alignment vertical="center"/>
    </xf>
    <xf numFmtId="10" fontId="21" fillId="0" borderId="17" xfId="42" applyNumberFormat="1" applyFont="1" applyFill="1" applyBorder="1" applyAlignment="1">
      <alignment horizontal="center" vertical="center" wrapText="1"/>
    </xf>
    <xf numFmtId="0" fontId="20" fillId="0" borderId="12" xfId="0" applyFont="1" applyBorder="1" applyAlignment="1">
      <alignment horizontal="left" vertical="center" wrapText="1"/>
    </xf>
    <xf numFmtId="0" fontId="20" fillId="0" borderId="53" xfId="0" applyFont="1" applyBorder="1" applyAlignment="1">
      <alignment horizontal="left" vertical="center" wrapText="1"/>
    </xf>
    <xf numFmtId="0" fontId="20" fillId="0" borderId="22" xfId="0" applyFont="1" applyBorder="1" applyAlignment="1">
      <alignment horizontal="left" vertical="center" wrapText="1"/>
    </xf>
    <xf numFmtId="43" fontId="26" fillId="33" borderId="20" xfId="43" applyFont="1" applyFill="1" applyBorder="1" applyAlignment="1">
      <alignment vertical="center"/>
    </xf>
    <xf numFmtId="0" fontId="18" fillId="0" borderId="12" xfId="0" applyFont="1" applyBorder="1" applyAlignment="1">
      <alignment horizontal="left" vertical="top" wrapText="1"/>
    </xf>
    <xf numFmtId="0" fontId="26" fillId="33" borderId="20" xfId="0" applyFont="1" applyFill="1" applyBorder="1" applyAlignment="1">
      <alignment horizontal="left" vertical="center" wrapText="1"/>
    </xf>
    <xf numFmtId="0" fontId="21" fillId="0" borderId="14" xfId="0" applyFont="1" applyBorder="1" applyAlignment="1">
      <alignment horizontal="left" vertical="center" wrapText="1"/>
    </xf>
    <xf numFmtId="0" fontId="22" fillId="0" borderId="14" xfId="0" applyFont="1" applyBorder="1" applyAlignment="1">
      <alignment horizontal="left" vertical="center" wrapText="1"/>
    </xf>
    <xf numFmtId="0" fontId="21" fillId="0" borderId="0" xfId="0" applyFont="1" applyAlignment="1">
      <alignment horizontal="left" vertical="center" wrapText="1"/>
    </xf>
    <xf numFmtId="0" fontId="0" fillId="0" borderId="0" xfId="0" applyAlignment="1">
      <alignment vertical="center"/>
    </xf>
    <xf numFmtId="0" fontId="18" fillId="0" borderId="0" xfId="0" applyFont="1" applyAlignment="1">
      <alignment horizontal="center" vertical="center"/>
    </xf>
    <xf numFmtId="0" fontId="18" fillId="0" borderId="13" xfId="0" applyFont="1" applyBorder="1" applyAlignment="1">
      <alignment horizontal="center" vertical="center"/>
    </xf>
    <xf numFmtId="0" fontId="21" fillId="0" borderId="14" xfId="0" applyFont="1" applyBorder="1" applyAlignment="1">
      <alignment horizontal="center" vertical="center" wrapText="1"/>
    </xf>
    <xf numFmtId="10" fontId="21" fillId="0" borderId="15" xfId="42" applyNumberFormat="1" applyFont="1" applyFill="1" applyBorder="1" applyAlignment="1">
      <alignment horizontal="center" vertical="center" wrapText="1"/>
    </xf>
    <xf numFmtId="0" fontId="20" fillId="0" borderId="16" xfId="0" applyFont="1" applyBorder="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left" vertical="center" wrapText="1"/>
    </xf>
    <xf numFmtId="10" fontId="21" fillId="0" borderId="102" xfId="42" applyNumberFormat="1" applyFont="1" applyFill="1" applyBorder="1" applyAlignment="1">
      <alignment horizontal="center" vertical="center" wrapText="1"/>
    </xf>
    <xf numFmtId="0" fontId="21" fillId="0" borderId="16" xfId="0" applyFont="1" applyBorder="1" applyAlignment="1">
      <alignment vertical="center"/>
    </xf>
    <xf numFmtId="0" fontId="21" fillId="0" borderId="0" xfId="0" applyFont="1" applyAlignment="1">
      <alignment vertical="center"/>
    </xf>
    <xf numFmtId="0" fontId="21" fillId="0" borderId="17" xfId="0" applyFont="1" applyBorder="1" applyAlignment="1">
      <alignment vertical="center"/>
    </xf>
    <xf numFmtId="0" fontId="38" fillId="38" borderId="102" xfId="0" applyFont="1" applyFill="1" applyBorder="1" applyAlignment="1">
      <alignment horizontal="center" vertical="center" wrapText="1"/>
    </xf>
    <xf numFmtId="4" fontId="38" fillId="38" borderId="102" xfId="0" applyNumberFormat="1" applyFont="1" applyFill="1" applyBorder="1" applyAlignment="1">
      <alignment horizontal="center" vertical="center" wrapText="1"/>
    </xf>
    <xf numFmtId="4" fontId="38" fillId="38" borderId="102" xfId="0" applyNumberFormat="1" applyFont="1" applyFill="1" applyBorder="1" applyAlignment="1">
      <alignment horizontal="center" vertical="center"/>
    </xf>
    <xf numFmtId="0" fontId="21" fillId="39" borderId="103" xfId="0" applyFont="1" applyFill="1" applyBorder="1" applyAlignment="1">
      <alignment horizontal="center" vertical="center" wrapText="1"/>
    </xf>
    <xf numFmtId="0" fontId="21" fillId="39" borderId="104" xfId="0" applyFont="1" applyFill="1" applyBorder="1" applyAlignment="1">
      <alignment horizontal="left" vertical="center" wrapText="1"/>
    </xf>
    <xf numFmtId="0" fontId="21" fillId="39" borderId="105" xfId="0" applyFont="1" applyFill="1" applyBorder="1" applyAlignment="1">
      <alignment horizontal="left" vertical="center" wrapText="1"/>
    </xf>
    <xf numFmtId="0" fontId="21" fillId="34" borderId="22" xfId="0" applyFont="1" applyFill="1" applyBorder="1" applyAlignment="1">
      <alignment horizontal="center" vertical="center" wrapText="1"/>
    </xf>
    <xf numFmtId="0" fontId="21" fillId="34" borderId="12" xfId="0" applyFont="1" applyFill="1" applyBorder="1" applyAlignment="1">
      <alignment horizontal="left" vertical="center" wrapText="1"/>
    </xf>
    <xf numFmtId="0" fontId="21" fillId="34" borderId="23" xfId="0" applyFont="1" applyFill="1" applyBorder="1" applyAlignment="1">
      <alignment horizontal="left" vertical="center" wrapText="1"/>
    </xf>
    <xf numFmtId="0" fontId="39" fillId="37" borderId="107" xfId="0" applyFont="1" applyFill="1" applyBorder="1" applyAlignment="1">
      <alignment horizontal="center" vertical="center"/>
    </xf>
    <xf numFmtId="0" fontId="21" fillId="39" borderId="108" xfId="0" applyFont="1" applyFill="1" applyBorder="1" applyAlignment="1">
      <alignment horizontal="center" vertical="center" wrapText="1"/>
    </xf>
    <xf numFmtId="0" fontId="21" fillId="34" borderId="103" xfId="0" applyFont="1" applyFill="1" applyBorder="1" applyAlignment="1">
      <alignment horizontal="center" vertical="center" wrapText="1"/>
    </xf>
    <xf numFmtId="0" fontId="21" fillId="35"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21" fillId="0" borderId="22" xfId="0" applyFont="1" applyBorder="1" applyAlignment="1">
      <alignment horizontal="center" vertical="center" wrapText="1"/>
    </xf>
    <xf numFmtId="0" fontId="38" fillId="37" borderId="108" xfId="0" applyFont="1" applyFill="1" applyBorder="1" applyAlignment="1">
      <alignment horizontal="center" vertical="center" wrapText="1"/>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20" fillId="0" borderId="111" xfId="0" applyFont="1" applyBorder="1" applyAlignment="1">
      <alignment horizontal="center" vertical="center" wrapText="1"/>
    </xf>
    <xf numFmtId="0" fontId="21" fillId="39" borderId="22" xfId="0" applyFont="1" applyFill="1" applyBorder="1" applyAlignment="1">
      <alignment horizontal="center" vertical="center" wrapText="1"/>
    </xf>
    <xf numFmtId="0" fontId="20" fillId="0" borderId="112" xfId="0" applyFont="1" applyBorder="1" applyAlignment="1">
      <alignment horizontal="center" vertical="center" wrapText="1"/>
    </xf>
    <xf numFmtId="0" fontId="40" fillId="37" borderId="108" xfId="0" applyFont="1" applyFill="1" applyBorder="1" applyAlignment="1">
      <alignment horizontal="center" vertical="center" wrapText="1"/>
    </xf>
    <xf numFmtId="0" fontId="38" fillId="37" borderId="113" xfId="0" applyFont="1" applyFill="1" applyBorder="1" applyAlignment="1">
      <alignment horizontal="right" vertical="center" wrapText="1"/>
    </xf>
    <xf numFmtId="0" fontId="40" fillId="37" borderId="113" xfId="0" applyFont="1" applyFill="1" applyBorder="1" applyAlignment="1">
      <alignment horizontal="center" vertical="center" wrapText="1"/>
    </xf>
    <xf numFmtId="4" fontId="40" fillId="37" borderId="113" xfId="0" applyNumberFormat="1" applyFont="1" applyFill="1" applyBorder="1" applyAlignment="1">
      <alignment horizontal="right" vertical="center" wrapText="1"/>
    </xf>
    <xf numFmtId="4" fontId="38" fillId="37" borderId="114" xfId="0" applyNumberFormat="1" applyFont="1" applyFill="1" applyBorder="1" applyAlignment="1">
      <alignment horizontal="right" vertical="center" wrapText="1"/>
    </xf>
    <xf numFmtId="0" fontId="21" fillId="39" borderId="113" xfId="0" applyFont="1" applyFill="1" applyBorder="1" applyAlignment="1">
      <alignment horizontal="left" vertical="center" wrapText="1"/>
    </xf>
    <xf numFmtId="0" fontId="21" fillId="39" borderId="114" xfId="0" applyFont="1" applyFill="1" applyBorder="1" applyAlignment="1">
      <alignment horizontal="left" vertical="center" wrapText="1"/>
    </xf>
    <xf numFmtId="0" fontId="21" fillId="34" borderId="104" xfId="0" applyFont="1" applyFill="1" applyBorder="1" applyAlignment="1">
      <alignment horizontal="left" vertical="center" wrapText="1"/>
    </xf>
    <xf numFmtId="0" fontId="21" fillId="34" borderId="105" xfId="0" applyFont="1" applyFill="1" applyBorder="1" applyAlignment="1">
      <alignment horizontal="left" vertical="center" wrapText="1"/>
    </xf>
    <xf numFmtId="0" fontId="21" fillId="35" borderId="12" xfId="0" applyFont="1" applyFill="1" applyBorder="1" applyAlignment="1">
      <alignment horizontal="left" vertical="center" wrapText="1"/>
    </xf>
    <xf numFmtId="0" fontId="21" fillId="35" borderId="23" xfId="0" applyFont="1" applyFill="1" applyBorder="1" applyAlignment="1">
      <alignment horizontal="left" vertical="center" wrapText="1"/>
    </xf>
    <xf numFmtId="0" fontId="18" fillId="0" borderId="106" xfId="0" applyFont="1" applyBorder="1"/>
    <xf numFmtId="4" fontId="21" fillId="35" borderId="23" xfId="0" applyNumberFormat="1" applyFont="1" applyFill="1" applyBorder="1" applyAlignment="1">
      <alignment horizontal="right" vertical="center" wrapText="1"/>
    </xf>
    <xf numFmtId="4" fontId="21" fillId="39" borderId="114" xfId="0" applyNumberFormat="1" applyFont="1" applyFill="1" applyBorder="1" applyAlignment="1">
      <alignment horizontal="right" vertical="center" wrapText="1"/>
    </xf>
    <xf numFmtId="4" fontId="21" fillId="34" borderId="105" xfId="0" applyNumberFormat="1" applyFont="1" applyFill="1" applyBorder="1" applyAlignment="1">
      <alignment horizontal="right" vertical="center" wrapText="1"/>
    </xf>
    <xf numFmtId="0" fontId="21" fillId="0" borderId="12" xfId="0" applyFont="1" applyBorder="1" applyAlignment="1">
      <alignment horizontal="right" vertical="center" wrapText="1"/>
    </xf>
    <xf numFmtId="0" fontId="20" fillId="0" borderId="12" xfId="0" applyFont="1" applyBorder="1" applyAlignment="1">
      <alignment horizontal="center" vertical="center" wrapText="1"/>
    </xf>
    <xf numFmtId="4" fontId="20" fillId="0" borderId="12" xfId="0" applyNumberFormat="1" applyFont="1" applyBorder="1" applyAlignment="1">
      <alignment horizontal="right" vertical="center" wrapText="1"/>
    </xf>
    <xf numFmtId="4" fontId="21" fillId="0" borderId="23" xfId="0" applyNumberFormat="1" applyFont="1" applyBorder="1" applyAlignment="1">
      <alignment horizontal="right" vertical="center" wrapText="1"/>
    </xf>
    <xf numFmtId="0" fontId="20" fillId="0" borderId="22" xfId="0" applyFont="1" applyBorder="1" applyAlignment="1">
      <alignment horizontal="center" vertical="top" wrapText="1"/>
    </xf>
    <xf numFmtId="4" fontId="21" fillId="34" borderId="23" xfId="0" applyNumberFormat="1" applyFont="1" applyFill="1" applyBorder="1" applyAlignment="1">
      <alignment horizontal="right" vertical="center" wrapText="1"/>
    </xf>
    <xf numFmtId="0" fontId="20" fillId="0" borderId="67" xfId="0" applyFont="1" applyBorder="1" applyAlignment="1">
      <alignment horizontal="center" vertical="center" wrapText="1"/>
    </xf>
    <xf numFmtId="0" fontId="21" fillId="35" borderId="12" xfId="0" applyFont="1" applyFill="1" applyBorder="1" applyAlignment="1">
      <alignment horizontal="left" vertical="top" wrapText="1"/>
    </xf>
    <xf numFmtId="4" fontId="21" fillId="35" borderId="23" xfId="0" applyNumberFormat="1" applyFont="1" applyFill="1" applyBorder="1" applyAlignment="1">
      <alignment horizontal="right" vertical="top" wrapText="1"/>
    </xf>
    <xf numFmtId="0" fontId="18" fillId="0" borderId="106" xfId="0" applyFont="1" applyBorder="1" applyAlignment="1">
      <alignment vertical="center"/>
    </xf>
    <xf numFmtId="4" fontId="20" fillId="0" borderId="57" xfId="0" applyNumberFormat="1" applyFont="1" applyBorder="1" applyAlignment="1">
      <alignment horizontal="right" vertical="top" wrapText="1"/>
    </xf>
    <xf numFmtId="0" fontId="21" fillId="39" borderId="12" xfId="0" applyFont="1" applyFill="1" applyBorder="1" applyAlignment="1">
      <alignment horizontal="left" vertical="center" wrapText="1"/>
    </xf>
    <xf numFmtId="4" fontId="21" fillId="39" borderId="23" xfId="0" applyNumberFormat="1" applyFont="1" applyFill="1" applyBorder="1" applyAlignment="1">
      <alignment horizontal="right" vertical="center" wrapText="1"/>
    </xf>
    <xf numFmtId="0" fontId="20" fillId="35" borderId="12" xfId="0" applyFont="1" applyFill="1" applyBorder="1" applyAlignment="1">
      <alignment horizontal="center" vertical="top" wrapText="1"/>
    </xf>
    <xf numFmtId="4" fontId="20" fillId="35" borderId="12" xfId="0" applyNumberFormat="1" applyFont="1" applyFill="1" applyBorder="1" applyAlignment="1">
      <alignment horizontal="right" vertical="top" wrapText="1"/>
    </xf>
    <xf numFmtId="0" fontId="32" fillId="36" borderId="0" xfId="0" applyFont="1" applyFill="1" applyAlignment="1">
      <alignment horizontal="center" wrapText="1"/>
    </xf>
    <xf numFmtId="164" fontId="23" fillId="36" borderId="0" xfId="0" applyNumberFormat="1" applyFont="1" applyFill="1" applyAlignment="1">
      <alignment horizontal="left" wrapText="1"/>
    </xf>
    <xf numFmtId="0" fontId="26" fillId="40" borderId="32" xfId="0" applyFont="1" applyFill="1" applyBorder="1" applyAlignment="1">
      <alignment horizontal="center" vertical="center"/>
    </xf>
    <xf numFmtId="0" fontId="26" fillId="40" borderId="34" xfId="0" applyFont="1" applyFill="1" applyBorder="1" applyAlignment="1">
      <alignment horizontal="center" vertical="center"/>
    </xf>
    <xf numFmtId="0" fontId="17" fillId="0" borderId="0" xfId="0" applyFont="1"/>
    <xf numFmtId="10" fontId="35" fillId="0" borderId="40" xfId="0" applyNumberFormat="1" applyFont="1" applyBorder="1" applyAlignment="1">
      <alignment horizontal="center" vertical="center"/>
    </xf>
    <xf numFmtId="0" fontId="35" fillId="40" borderId="40" xfId="0" applyFont="1" applyFill="1" applyBorder="1" applyAlignment="1">
      <alignment horizontal="center" vertical="center"/>
    </xf>
    <xf numFmtId="10" fontId="35" fillId="40" borderId="40" xfId="0" applyNumberFormat="1" applyFont="1" applyFill="1" applyBorder="1" applyAlignment="1">
      <alignment vertical="center"/>
    </xf>
    <xf numFmtId="0" fontId="0" fillId="36" borderId="115" xfId="0" applyFill="1" applyBorder="1"/>
    <xf numFmtId="0" fontId="0" fillId="36" borderId="116" xfId="0" applyFill="1" applyBorder="1" applyAlignment="1">
      <alignment vertical="center"/>
    </xf>
    <xf numFmtId="0" fontId="0" fillId="36" borderId="117" xfId="0" applyFill="1" applyBorder="1" applyAlignment="1">
      <alignment vertical="center"/>
    </xf>
    <xf numFmtId="0" fontId="0" fillId="36" borderId="118" xfId="0" applyFill="1" applyBorder="1"/>
    <xf numFmtId="0" fontId="0" fillId="36" borderId="115" xfId="0" applyFill="1" applyBorder="1" applyAlignment="1">
      <alignment vertical="center"/>
    </xf>
    <xf numFmtId="0" fontId="0" fillId="36" borderId="119" xfId="0" applyFill="1" applyBorder="1" applyAlignment="1">
      <alignment vertical="center"/>
    </xf>
    <xf numFmtId="0" fontId="0" fillId="36" borderId="118" xfId="0" applyFill="1" applyBorder="1" applyAlignment="1">
      <alignment vertical="center"/>
    </xf>
    <xf numFmtId="0" fontId="0" fillId="36" borderId="0" xfId="0" applyFill="1" applyAlignment="1">
      <alignment vertical="center"/>
    </xf>
    <xf numFmtId="0" fontId="47" fillId="36" borderId="118" xfId="0" applyFont="1" applyFill="1" applyBorder="1" applyAlignment="1">
      <alignment vertical="center"/>
    </xf>
    <xf numFmtId="0" fontId="16" fillId="36" borderId="0" xfId="0" applyFont="1" applyFill="1" applyAlignment="1">
      <alignment vertical="center"/>
    </xf>
    <xf numFmtId="0" fontId="48" fillId="36" borderId="118" xfId="0" applyFont="1" applyFill="1" applyBorder="1" applyAlignment="1">
      <alignment vertical="center"/>
    </xf>
    <xf numFmtId="0" fontId="48" fillId="36" borderId="0" xfId="0" applyFont="1" applyFill="1" applyAlignment="1">
      <alignment vertical="center"/>
    </xf>
    <xf numFmtId="0" fontId="49" fillId="36" borderId="0" xfId="0" applyFont="1" applyFill="1" applyAlignment="1">
      <alignment vertical="top" wrapText="1"/>
    </xf>
    <xf numFmtId="0" fontId="49" fillId="36" borderId="0" xfId="0" applyFont="1" applyFill="1" applyAlignment="1">
      <alignment vertical="top"/>
    </xf>
    <xf numFmtId="14" fontId="50" fillId="36" borderId="0" xfId="0" applyNumberFormat="1" applyFont="1" applyFill="1" applyAlignment="1">
      <alignment vertical="top" wrapText="1"/>
    </xf>
    <xf numFmtId="0" fontId="50" fillId="36" borderId="0" xfId="0" applyFont="1" applyFill="1" applyAlignment="1">
      <alignment vertical="top" wrapText="1"/>
    </xf>
    <xf numFmtId="0" fontId="51" fillId="36" borderId="0" xfId="0" applyFont="1" applyFill="1" applyAlignment="1">
      <alignment vertical="top" wrapText="1"/>
    </xf>
    <xf numFmtId="0" fontId="51" fillId="36" borderId="119" xfId="0" applyFont="1" applyFill="1" applyBorder="1" applyAlignment="1">
      <alignment vertical="top" wrapText="1"/>
    </xf>
    <xf numFmtId="0" fontId="47" fillId="36" borderId="0" xfId="0" applyFont="1" applyFill="1" applyAlignment="1">
      <alignment vertical="center"/>
    </xf>
    <xf numFmtId="0" fontId="0" fillId="36" borderId="0" xfId="0" applyFill="1"/>
    <xf numFmtId="0" fontId="47" fillId="36" borderId="120" xfId="0" applyFont="1" applyFill="1" applyBorder="1" applyAlignment="1">
      <alignment vertical="center"/>
    </xf>
    <xf numFmtId="0" fontId="0" fillId="36" borderId="121" xfId="0" applyFill="1" applyBorder="1" applyAlignment="1">
      <alignment vertical="center"/>
    </xf>
    <xf numFmtId="0" fontId="0" fillId="36" borderId="122" xfId="0" applyFill="1" applyBorder="1" applyAlignment="1">
      <alignment vertical="center"/>
    </xf>
    <xf numFmtId="0" fontId="0" fillId="36" borderId="120" xfId="0" applyFill="1" applyBorder="1" applyAlignment="1">
      <alignment vertical="center"/>
    </xf>
    <xf numFmtId="0" fontId="0" fillId="36" borderId="123" xfId="0" applyFill="1" applyBorder="1" applyAlignment="1">
      <alignment vertical="center"/>
    </xf>
    <xf numFmtId="0" fontId="0" fillId="36" borderId="120" xfId="0" applyFill="1" applyBorder="1"/>
    <xf numFmtId="0" fontId="21" fillId="36" borderId="16" xfId="0" applyFont="1" applyFill="1" applyBorder="1" applyAlignment="1">
      <alignment horizontal="center" wrapText="1"/>
    </xf>
    <xf numFmtId="0" fontId="21" fillId="36" borderId="0" xfId="0" applyFont="1" applyFill="1" applyAlignment="1">
      <alignment horizontal="left" wrapText="1"/>
    </xf>
    <xf numFmtId="0" fontId="28" fillId="36" borderId="0" xfId="0" applyFont="1" applyFill="1" applyAlignment="1">
      <alignment horizontal="left"/>
    </xf>
    <xf numFmtId="0" fontId="28" fillId="36" borderId="17" xfId="0" applyFont="1" applyFill="1" applyBorder="1" applyAlignment="1">
      <alignment horizontal="left"/>
    </xf>
    <xf numFmtId="0" fontId="20" fillId="36" borderId="0" xfId="0" applyFont="1" applyFill="1" applyAlignment="1">
      <alignment horizontal="left" wrapText="1"/>
    </xf>
    <xf numFmtId="0" fontId="20" fillId="36" borderId="17" xfId="0" applyFont="1" applyFill="1" applyBorder="1" applyAlignment="1">
      <alignment horizontal="left" wrapText="1"/>
    </xf>
    <xf numFmtId="0" fontId="18" fillId="36" borderId="13" xfId="0" applyFont="1" applyFill="1" applyBorder="1" applyAlignment="1">
      <alignment horizontal="center" vertical="center"/>
    </xf>
    <xf numFmtId="0" fontId="21" fillId="36" borderId="14" xfId="0" applyFont="1" applyFill="1" applyBorder="1" applyAlignment="1">
      <alignment horizontal="center" vertical="center" wrapText="1"/>
    </xf>
    <xf numFmtId="0" fontId="21" fillId="36" borderId="14" xfId="0" applyFont="1" applyFill="1" applyBorder="1" applyAlignment="1">
      <alignment horizontal="left" vertical="center" wrapText="1"/>
    </xf>
    <xf numFmtId="0" fontId="22" fillId="36" borderId="14" xfId="0" applyFont="1" applyFill="1" applyBorder="1" applyAlignment="1">
      <alignment horizontal="left" vertical="center" wrapText="1"/>
    </xf>
    <xf numFmtId="10" fontId="21" fillId="36" borderId="15" xfId="42" applyNumberFormat="1" applyFont="1" applyFill="1" applyBorder="1" applyAlignment="1">
      <alignment horizontal="center" vertical="center" wrapText="1"/>
    </xf>
    <xf numFmtId="0" fontId="20" fillId="36" borderId="16" xfId="0" applyFont="1" applyFill="1" applyBorder="1" applyAlignment="1">
      <alignment horizontal="center" vertical="center"/>
    </xf>
    <xf numFmtId="0" fontId="21" fillId="36" borderId="0" xfId="0" applyFont="1" applyFill="1" applyAlignment="1">
      <alignment horizontal="center" vertical="center" wrapText="1"/>
    </xf>
    <xf numFmtId="0" fontId="21" fillId="36" borderId="0" xfId="0" applyFont="1" applyFill="1" applyAlignment="1">
      <alignment horizontal="left" vertical="center" wrapText="1"/>
    </xf>
    <xf numFmtId="0" fontId="22" fillId="36" borderId="0" xfId="0" applyFont="1" applyFill="1" applyAlignment="1">
      <alignment horizontal="left" vertical="center" wrapText="1"/>
    </xf>
    <xf numFmtId="10" fontId="21" fillId="36" borderId="17" xfId="42" applyNumberFormat="1" applyFont="1" applyFill="1" applyBorder="1" applyAlignment="1">
      <alignment horizontal="center" vertical="center" wrapText="1"/>
    </xf>
    <xf numFmtId="0" fontId="21" fillId="36" borderId="0" xfId="0" applyFont="1" applyFill="1" applyAlignment="1">
      <alignment vertical="center"/>
    </xf>
    <xf numFmtId="0" fontId="21" fillId="36" borderId="17" xfId="0" applyFont="1" applyFill="1" applyBorder="1" applyAlignment="1">
      <alignment vertical="center"/>
    </xf>
    <xf numFmtId="0" fontId="21" fillId="36" borderId="16" xfId="0" applyFont="1" applyFill="1" applyBorder="1" applyAlignment="1">
      <alignment horizontal="right" vertical="center"/>
    </xf>
    <xf numFmtId="0" fontId="21" fillId="36" borderId="0" xfId="0" applyFont="1" applyFill="1" applyAlignment="1">
      <alignment vertical="center" wrapText="1"/>
    </xf>
    <xf numFmtId="0" fontId="22" fillId="36" borderId="0" xfId="0" applyFont="1" applyFill="1" applyAlignment="1">
      <alignment vertical="center" wrapText="1"/>
    </xf>
    <xf numFmtId="0" fontId="18" fillId="36" borderId="0" xfId="0" applyFont="1" applyFill="1" applyAlignment="1">
      <alignment vertical="center"/>
    </xf>
    <xf numFmtId="0" fontId="59" fillId="37" borderId="63" xfId="0" applyFont="1" applyFill="1" applyBorder="1" applyAlignment="1">
      <alignment horizontal="center" vertical="center" wrapText="1"/>
    </xf>
    <xf numFmtId="169" fontId="59" fillId="37" borderId="63" xfId="0" applyNumberFormat="1" applyFont="1" applyFill="1" applyBorder="1" applyAlignment="1">
      <alignment horizontal="center" vertical="center" wrapText="1"/>
    </xf>
    <xf numFmtId="4" fontId="59" fillId="37" borderId="63" xfId="0" applyNumberFormat="1" applyFont="1" applyFill="1" applyBorder="1" applyAlignment="1">
      <alignment horizontal="center" vertical="center" wrapText="1"/>
    </xf>
    <xf numFmtId="0" fontId="35" fillId="36" borderId="0" xfId="0" applyFont="1" applyFill="1"/>
    <xf numFmtId="0" fontId="21" fillId="36" borderId="0" xfId="0" applyFont="1" applyFill="1" applyAlignment="1">
      <alignment horizontal="center" wrapText="1"/>
    </xf>
    <xf numFmtId="0" fontId="0" fillId="36" borderId="0" xfId="0" applyFill="1" applyAlignment="1">
      <alignment vertical="top"/>
    </xf>
    <xf numFmtId="0" fontId="0" fillId="36" borderId="0" xfId="0" applyFill="1" applyAlignment="1">
      <alignment horizontal="right" vertical="top"/>
    </xf>
    <xf numFmtId="0" fontId="38" fillId="37" borderId="102" xfId="0" applyFont="1" applyFill="1" applyBorder="1" applyAlignment="1">
      <alignment horizontal="center"/>
    </xf>
    <xf numFmtId="0" fontId="53" fillId="36" borderId="0" xfId="0" applyFont="1" applyFill="1" applyAlignment="1">
      <alignment vertical="center"/>
    </xf>
    <xf numFmtId="0" fontId="54" fillId="36" borderId="0" xfId="0" applyFont="1" applyFill="1" applyAlignment="1">
      <alignment vertical="top" wrapText="1"/>
    </xf>
    <xf numFmtId="0" fontId="55" fillId="36" borderId="0" xfId="0" applyFont="1" applyFill="1" applyAlignment="1">
      <alignment vertical="center" wrapText="1"/>
    </xf>
    <xf numFmtId="165" fontId="24" fillId="36" borderId="0" xfId="43" applyNumberFormat="1" applyFont="1" applyFill="1" applyBorder="1" applyAlignment="1">
      <alignment horizontal="left" vertical="center" indent="1"/>
    </xf>
    <xf numFmtId="43" fontId="23" fillId="36" borderId="0" xfId="43" applyFont="1" applyFill="1" applyBorder="1" applyAlignment="1">
      <alignment horizontal="left" vertical="center"/>
    </xf>
    <xf numFmtId="43" fontId="24" fillId="36" borderId="0" xfId="43" applyFont="1" applyFill="1" applyBorder="1" applyAlignment="1">
      <alignment vertical="center"/>
    </xf>
    <xf numFmtId="0" fontId="24" fillId="36" borderId="0" xfId="0" applyFont="1" applyFill="1"/>
    <xf numFmtId="0" fontId="42" fillId="36" borderId="0" xfId="0" applyFont="1" applyFill="1"/>
    <xf numFmtId="167" fontId="42" fillId="36" borderId="0" xfId="0" applyNumberFormat="1" applyFont="1" applyFill="1"/>
    <xf numFmtId="0" fontId="42" fillId="36" borderId="0" xfId="0" applyFont="1" applyFill="1" applyAlignment="1">
      <alignment vertical="center"/>
    </xf>
    <xf numFmtId="0" fontId="27" fillId="36" borderId="0" xfId="0" applyFont="1" applyFill="1" applyAlignment="1">
      <alignment horizontal="left"/>
    </xf>
    <xf numFmtId="0" fontId="26" fillId="36" borderId="17" xfId="0" applyFont="1" applyFill="1" applyBorder="1"/>
    <xf numFmtId="0" fontId="0" fillId="36" borderId="16" xfId="0" applyFill="1" applyBorder="1"/>
    <xf numFmtId="0" fontId="0" fillId="36" borderId="17" xfId="0" applyFill="1" applyBorder="1"/>
    <xf numFmtId="0" fontId="0" fillId="36" borderId="35" xfId="0" applyFill="1" applyBorder="1"/>
    <xf numFmtId="0" fontId="0" fillId="36" borderId="36" xfId="0" applyFill="1" applyBorder="1"/>
    <xf numFmtId="0" fontId="0" fillId="36" borderId="37" xfId="0" applyFill="1" applyBorder="1"/>
    <xf numFmtId="0" fontId="26" fillId="36" borderId="33" xfId="0" applyFont="1" applyFill="1" applyBorder="1" applyAlignment="1">
      <alignment horizontal="center" vertical="center"/>
    </xf>
    <xf numFmtId="0" fontId="0" fillId="36" borderId="33" xfId="0" applyFill="1" applyBorder="1" applyAlignment="1">
      <alignment horizontal="center" vertical="center"/>
    </xf>
    <xf numFmtId="0" fontId="26" fillId="36" borderId="33" xfId="0" applyFont="1" applyFill="1" applyBorder="1" applyAlignment="1">
      <alignment horizontal="center"/>
    </xf>
    <xf numFmtId="0" fontId="26" fillId="36" borderId="33" xfId="0" applyFont="1" applyFill="1" applyBorder="1"/>
    <xf numFmtId="2" fontId="26" fillId="36" borderId="33" xfId="0" applyNumberFormat="1" applyFont="1" applyFill="1" applyBorder="1" applyAlignment="1">
      <alignment horizontal="center"/>
    </xf>
    <xf numFmtId="0" fontId="0" fillId="36" borderId="33" xfId="0" applyFill="1" applyBorder="1" applyAlignment="1">
      <alignment horizontal="right"/>
    </xf>
    <xf numFmtId="0" fontId="0" fillId="36" borderId="33" xfId="0" applyFill="1" applyBorder="1"/>
    <xf numFmtId="2" fontId="0" fillId="36" borderId="33" xfId="0" applyNumberFormat="1" applyFill="1" applyBorder="1" applyAlignment="1">
      <alignment horizontal="center"/>
    </xf>
    <xf numFmtId="2" fontId="26" fillId="36" borderId="17" xfId="0" applyNumberFormat="1" applyFont="1" applyFill="1" applyBorder="1" applyAlignment="1">
      <alignment horizontal="center"/>
    </xf>
    <xf numFmtId="0" fontId="0" fillId="36" borderId="33" xfId="0" applyFill="1" applyBorder="1" applyAlignment="1">
      <alignment horizontal="left"/>
    </xf>
    <xf numFmtId="0" fontId="0" fillId="36" borderId="33" xfId="0" applyFill="1" applyBorder="1" applyAlignment="1">
      <alignment horizontal="center"/>
    </xf>
    <xf numFmtId="0" fontId="0" fillId="36" borderId="38" xfId="0" applyFill="1" applyBorder="1"/>
    <xf numFmtId="0" fontId="0" fillId="36" borderId="39" xfId="0" applyFill="1" applyBorder="1"/>
    <xf numFmtId="0" fontId="0" fillId="36" borderId="41" xfId="0" applyFill="1" applyBorder="1"/>
    <xf numFmtId="0" fontId="17" fillId="36" borderId="0" xfId="0" applyFont="1" applyFill="1"/>
    <xf numFmtId="4" fontId="0" fillId="36" borderId="0" xfId="0" applyNumberFormat="1" applyFill="1"/>
    <xf numFmtId="0" fontId="18" fillId="0" borderId="130" xfId="0" applyFont="1" applyBorder="1" applyAlignment="1">
      <alignment vertical="center"/>
    </xf>
    <xf numFmtId="0" fontId="40" fillId="37" borderId="87" xfId="0" applyFont="1" applyFill="1" applyBorder="1" applyAlignment="1">
      <alignment horizontal="center" vertical="center" wrapText="1"/>
    </xf>
    <xf numFmtId="0" fontId="38" fillId="37" borderId="87" xfId="0" applyFont="1" applyFill="1" applyBorder="1" applyAlignment="1">
      <alignment horizontal="right" vertical="center" wrapText="1"/>
    </xf>
    <xf numFmtId="4" fontId="40" fillId="37" borderId="87" xfId="0" applyNumberFormat="1" applyFont="1" applyFill="1" applyBorder="1" applyAlignment="1">
      <alignment horizontal="right" vertical="center" wrapText="1"/>
    </xf>
    <xf numFmtId="4" fontId="38" fillId="37" borderId="131" xfId="0" applyNumberFormat="1" applyFont="1" applyFill="1" applyBorder="1" applyAlignment="1">
      <alignment horizontal="right" vertical="center" wrapText="1"/>
    </xf>
    <xf numFmtId="0" fontId="38" fillId="37" borderId="90" xfId="0" applyFont="1" applyFill="1" applyBorder="1" applyAlignment="1">
      <alignment horizontal="center" vertical="center"/>
    </xf>
    <xf numFmtId="4" fontId="38" fillId="37" borderId="132" xfId="0" applyNumberFormat="1" applyFont="1" applyFill="1" applyBorder="1" applyAlignment="1">
      <alignment horizontal="right" vertical="center"/>
    </xf>
    <xf numFmtId="4" fontId="38" fillId="37" borderId="132" xfId="0" applyNumberFormat="1" applyFont="1" applyFill="1" applyBorder="1" applyAlignment="1">
      <alignment horizontal="right" vertical="center" wrapText="1"/>
    </xf>
    <xf numFmtId="0" fontId="38" fillId="37" borderId="133" xfId="0" applyFont="1" applyFill="1" applyBorder="1" applyAlignment="1">
      <alignment horizontal="center" vertical="center"/>
    </xf>
    <xf numFmtId="4" fontId="38" fillId="37" borderId="135" xfId="0" applyNumberFormat="1" applyFont="1" applyFill="1" applyBorder="1" applyAlignment="1">
      <alignment horizontal="right" vertical="center" wrapText="1"/>
    </xf>
    <xf numFmtId="0" fontId="38" fillId="37" borderId="86" xfId="0" applyFont="1" applyFill="1" applyBorder="1" applyAlignment="1">
      <alignment horizontal="center" vertical="center" wrapText="1"/>
    </xf>
    <xf numFmtId="0" fontId="18" fillId="37" borderId="89" xfId="0" applyFont="1" applyFill="1" applyBorder="1"/>
    <xf numFmtId="0" fontId="18" fillId="37" borderId="136" xfId="0" applyFont="1" applyFill="1" applyBorder="1"/>
    <xf numFmtId="43" fontId="0" fillId="0" borderId="43" xfId="0" applyNumberFormat="1" applyBorder="1"/>
    <xf numFmtId="43" fontId="0" fillId="0" borderId="46" xfId="0" applyNumberFormat="1" applyBorder="1"/>
    <xf numFmtId="0" fontId="0" fillId="0" borderId="46" xfId="0" applyBorder="1"/>
    <xf numFmtId="0" fontId="0" fillId="0" borderId="51" xfId="0" applyBorder="1"/>
    <xf numFmtId="10" fontId="17" fillId="37" borderId="102" xfId="0" applyNumberFormat="1" applyFont="1" applyFill="1" applyBorder="1"/>
    <xf numFmtId="0" fontId="21" fillId="0" borderId="0" xfId="0" applyFont="1" applyAlignment="1">
      <alignment horizontal="left" vertical="center"/>
    </xf>
    <xf numFmtId="0" fontId="21" fillId="36" borderId="16" xfId="0" applyFont="1" applyFill="1" applyBorder="1" applyAlignment="1">
      <alignment vertical="center"/>
    </xf>
    <xf numFmtId="0" fontId="0" fillId="0" borderId="36" xfId="0" applyBorder="1" applyAlignment="1">
      <alignment horizontal="center" vertical="center"/>
    </xf>
    <xf numFmtId="10" fontId="0" fillId="0" borderId="36" xfId="0" applyNumberFormat="1" applyBorder="1"/>
    <xf numFmtId="0" fontId="63" fillId="35" borderId="40" xfId="0" applyFont="1" applyFill="1" applyBorder="1" applyAlignment="1">
      <alignment vertical="center"/>
    </xf>
    <xf numFmtId="0" fontId="63" fillId="0" borderId="89" xfId="0" applyFont="1" applyBorder="1" applyAlignment="1">
      <alignment horizontal="center" vertical="center"/>
    </xf>
    <xf numFmtId="10" fontId="63" fillId="0" borderId="91" xfId="0" applyNumberFormat="1" applyFont="1" applyBorder="1"/>
    <xf numFmtId="10" fontId="64" fillId="0" borderId="16" xfId="0" applyNumberFormat="1" applyFont="1" applyBorder="1"/>
    <xf numFmtId="0" fontId="63" fillId="0" borderId="0" xfId="0" applyFont="1"/>
    <xf numFmtId="0" fontId="63" fillId="0" borderId="136" xfId="0" applyFont="1" applyBorder="1" applyAlignment="1">
      <alignment horizontal="center" vertical="center"/>
    </xf>
    <xf numFmtId="10" fontId="63" fillId="0" borderId="139" xfId="0" applyNumberFormat="1" applyFont="1" applyBorder="1"/>
    <xf numFmtId="10" fontId="64" fillId="35" borderId="40" xfId="0" applyNumberFormat="1" applyFont="1" applyFill="1" applyBorder="1" applyAlignment="1">
      <alignment vertical="center"/>
    </xf>
    <xf numFmtId="0" fontId="63" fillId="0" borderId="86" xfId="0" applyFont="1" applyBorder="1" applyAlignment="1">
      <alignment horizontal="center" vertical="center"/>
    </xf>
    <xf numFmtId="10" fontId="63" fillId="0" borderId="88" xfId="0" applyNumberFormat="1" applyFont="1" applyBorder="1"/>
    <xf numFmtId="10" fontId="63" fillId="0" borderId="16" xfId="0" applyNumberFormat="1" applyFont="1" applyBorder="1"/>
    <xf numFmtId="10" fontId="63" fillId="0" borderId="140" xfId="0" applyNumberFormat="1" applyFont="1" applyBorder="1"/>
    <xf numFmtId="10" fontId="64" fillId="0" borderId="16" xfId="0" applyNumberFormat="1" applyFont="1" applyBorder="1" applyAlignment="1">
      <alignment vertical="center"/>
    </xf>
    <xf numFmtId="0" fontId="63" fillId="0" borderId="92" xfId="0" applyFont="1" applyBorder="1" applyAlignment="1">
      <alignment horizontal="center" vertical="center"/>
    </xf>
    <xf numFmtId="10" fontId="63" fillId="0" borderId="94" xfId="0" applyNumberFormat="1" applyFont="1" applyBorder="1"/>
    <xf numFmtId="0" fontId="0" fillId="0" borderId="0" xfId="0" applyAlignment="1">
      <alignment horizontal="center" vertical="center"/>
    </xf>
    <xf numFmtId="10" fontId="0" fillId="0" borderId="0" xfId="0" applyNumberFormat="1"/>
    <xf numFmtId="169" fontId="18" fillId="36" borderId="0" xfId="0" applyNumberFormat="1" applyFont="1" applyFill="1" applyAlignment="1">
      <alignment horizontal="right" vertical="top" wrapText="1"/>
    </xf>
    <xf numFmtId="0" fontId="20" fillId="0" borderId="53" xfId="0" applyFont="1" applyBorder="1" applyAlignment="1">
      <alignment horizontal="center" vertical="center" wrapText="1"/>
    </xf>
    <xf numFmtId="4" fontId="20" fillId="0" borderId="57" xfId="0" applyNumberFormat="1" applyFont="1" applyBorder="1" applyAlignment="1">
      <alignment horizontal="right" vertical="center" wrapText="1"/>
    </xf>
    <xf numFmtId="0" fontId="28" fillId="36" borderId="0" xfId="44" applyFont="1" applyFill="1"/>
    <xf numFmtId="0" fontId="18" fillId="0" borderId="12" xfId="0" applyFont="1" applyBorder="1" applyAlignment="1">
      <alignment horizontal="left" vertical="center" wrapText="1"/>
    </xf>
    <xf numFmtId="0" fontId="52" fillId="36" borderId="115" xfId="0" applyFont="1" applyFill="1" applyBorder="1" applyAlignment="1">
      <alignment vertical="center"/>
    </xf>
    <xf numFmtId="0" fontId="52" fillId="36" borderId="118" xfId="0" applyFont="1" applyFill="1" applyBorder="1" applyAlignment="1">
      <alignment vertical="center"/>
    </xf>
    <xf numFmtId="44" fontId="52" fillId="36" borderId="119" xfId="45" applyFont="1" applyFill="1" applyBorder="1" applyAlignment="1">
      <alignment vertical="center"/>
    </xf>
    <xf numFmtId="44" fontId="47" fillId="36" borderId="119" xfId="45" applyFont="1" applyFill="1" applyBorder="1" applyAlignment="1">
      <alignment vertical="center"/>
    </xf>
    <xf numFmtId="44" fontId="65" fillId="36" borderId="119" xfId="45" applyFont="1" applyFill="1" applyBorder="1" applyAlignment="1">
      <alignment vertical="center"/>
    </xf>
    <xf numFmtId="10" fontId="64" fillId="34" borderId="40" xfId="0" applyNumberFormat="1" applyFont="1" applyFill="1" applyBorder="1" applyAlignment="1">
      <alignment vertical="center"/>
    </xf>
    <xf numFmtId="17" fontId="0" fillId="36" borderId="0" xfId="0" applyNumberFormat="1" applyFill="1"/>
    <xf numFmtId="4" fontId="18" fillId="36" borderId="65" xfId="0" applyNumberFormat="1" applyFont="1" applyFill="1" applyBorder="1" applyAlignment="1">
      <alignment horizontal="right" vertical="top" wrapText="1"/>
    </xf>
    <xf numFmtId="4" fontId="18" fillId="41" borderId="53" xfId="0" applyNumberFormat="1" applyFont="1" applyFill="1" applyBorder="1" applyAlignment="1">
      <alignment horizontal="right" vertical="top" wrapText="1"/>
    </xf>
    <xf numFmtId="0" fontId="18" fillId="36" borderId="67" xfId="0" applyFont="1" applyFill="1" applyBorder="1" applyAlignment="1">
      <alignment horizontal="right" vertical="top" wrapText="1"/>
    </xf>
    <xf numFmtId="4" fontId="18" fillId="36" borderId="53" xfId="0" applyNumberFormat="1" applyFont="1" applyFill="1" applyBorder="1" applyAlignment="1">
      <alignment horizontal="right" vertical="top" wrapText="1"/>
    </xf>
    <xf numFmtId="0" fontId="18" fillId="36" borderId="53" xfId="0" applyFont="1" applyFill="1" applyBorder="1" applyAlignment="1">
      <alignment horizontal="left" vertical="top" wrapText="1"/>
    </xf>
    <xf numFmtId="0" fontId="18" fillId="36" borderId="53" xfId="0" applyFont="1" applyFill="1" applyBorder="1" applyAlignment="1">
      <alignment horizontal="center" vertical="top" wrapText="1"/>
    </xf>
    <xf numFmtId="169" fontId="18" fillId="36" borderId="53" xfId="0" applyNumberFormat="1" applyFont="1" applyFill="1" applyBorder="1" applyAlignment="1">
      <alignment horizontal="right" vertical="top" wrapText="1"/>
    </xf>
    <xf numFmtId="4" fontId="18" fillId="36" borderId="68" xfId="0" applyNumberFormat="1" applyFont="1" applyFill="1" applyBorder="1" applyAlignment="1">
      <alignment horizontal="right" vertical="top" wrapText="1"/>
    </xf>
    <xf numFmtId="4" fontId="34" fillId="36" borderId="37" xfId="0" applyNumberFormat="1" applyFont="1" applyFill="1" applyBorder="1" applyAlignment="1">
      <alignment horizontal="right" vertical="top" wrapText="1"/>
    </xf>
    <xf numFmtId="0" fontId="18" fillId="36" borderId="10" xfId="0" applyFont="1" applyFill="1" applyBorder="1" applyAlignment="1">
      <alignment horizontal="right" vertical="top" wrapText="1"/>
    </xf>
    <xf numFmtId="0" fontId="18" fillId="36" borderId="0" xfId="0" applyFont="1" applyFill="1" applyAlignment="1">
      <alignment horizontal="right" vertical="top" wrapText="1"/>
    </xf>
    <xf numFmtId="0" fontId="34" fillId="36" borderId="64" xfId="0" applyFont="1" applyFill="1" applyBorder="1" applyAlignment="1">
      <alignment horizontal="left" vertical="top" wrapText="1"/>
    </xf>
    <xf numFmtId="0" fontId="34" fillId="36" borderId="65" xfId="0" applyFont="1" applyFill="1" applyBorder="1" applyAlignment="1">
      <alignment horizontal="left" vertical="top" wrapText="1"/>
    </xf>
    <xf numFmtId="0" fontId="34" fillId="36" borderId="65" xfId="0" applyFont="1" applyFill="1" applyBorder="1" applyAlignment="1">
      <alignment horizontal="center" vertical="top" wrapText="1"/>
    </xf>
    <xf numFmtId="169" fontId="18" fillId="36" borderId="65" xfId="0" applyNumberFormat="1" applyFont="1" applyFill="1" applyBorder="1" applyAlignment="1">
      <alignment horizontal="right" vertical="top" wrapText="1"/>
    </xf>
    <xf numFmtId="4" fontId="18" fillId="36" borderId="66" xfId="0" applyNumberFormat="1" applyFont="1" applyFill="1" applyBorder="1" applyAlignment="1">
      <alignment horizontal="right" vertical="top" wrapText="1"/>
    </xf>
    <xf numFmtId="0" fontId="18" fillId="36" borderId="76" xfId="0" applyFont="1" applyFill="1" applyBorder="1" applyAlignment="1">
      <alignment horizontal="right" vertical="top" wrapText="1"/>
    </xf>
    <xf numFmtId="0" fontId="18" fillId="36" borderId="72" xfId="0" applyFont="1" applyFill="1" applyBorder="1" applyAlignment="1">
      <alignment horizontal="left" vertical="top" wrapText="1"/>
    </xf>
    <xf numFmtId="0" fontId="18" fillId="36" borderId="72" xfId="0" applyFont="1" applyFill="1" applyBorder="1" applyAlignment="1">
      <alignment horizontal="center" vertical="top" wrapText="1"/>
    </xf>
    <xf numFmtId="169" fontId="18" fillId="36" borderId="72" xfId="0" applyNumberFormat="1" applyFont="1" applyFill="1" applyBorder="1" applyAlignment="1">
      <alignment horizontal="right" vertical="top" wrapText="1"/>
    </xf>
    <xf numFmtId="4" fontId="18" fillId="36" borderId="72" xfId="0" applyNumberFormat="1" applyFont="1" applyFill="1" applyBorder="1" applyAlignment="1">
      <alignment horizontal="right" vertical="top" wrapText="1"/>
    </xf>
    <xf numFmtId="0" fontId="18" fillId="36" borderId="58" xfId="0" applyFont="1" applyFill="1" applyBorder="1" applyAlignment="1">
      <alignment horizontal="right" vertical="top" wrapText="1"/>
    </xf>
    <xf numFmtId="0" fontId="18" fillId="36" borderId="55" xfId="0" applyFont="1" applyFill="1" applyBorder="1" applyAlignment="1">
      <alignment horizontal="right" vertical="top" wrapText="1"/>
    </xf>
    <xf numFmtId="0" fontId="18" fillId="36" borderId="73" xfId="0" applyFont="1" applyFill="1" applyBorder="1" applyAlignment="1">
      <alignment horizontal="right" vertical="top" wrapText="1"/>
    </xf>
    <xf numFmtId="0" fontId="18" fillId="36" borderId="74" xfId="0" applyFont="1" applyFill="1" applyBorder="1" applyAlignment="1">
      <alignment horizontal="right" vertical="top" wrapText="1"/>
    </xf>
    <xf numFmtId="4" fontId="34" fillId="36" borderId="0" xfId="0" applyNumberFormat="1" applyFont="1" applyFill="1" applyAlignment="1">
      <alignment horizontal="right" vertical="top" wrapText="1"/>
    </xf>
    <xf numFmtId="0" fontId="34" fillId="36" borderId="83" xfId="0" applyFont="1" applyFill="1" applyBorder="1" applyAlignment="1">
      <alignment horizontal="left" vertical="top" wrapText="1"/>
    </xf>
    <xf numFmtId="4" fontId="34" fillId="36" borderId="84" xfId="0" applyNumberFormat="1" applyFont="1" applyFill="1" applyBorder="1" applyAlignment="1">
      <alignment horizontal="right" vertical="top" wrapText="1"/>
    </xf>
    <xf numFmtId="0" fontId="34" fillId="36" borderId="52" xfId="0" applyFont="1" applyFill="1" applyBorder="1" applyAlignment="1">
      <alignment horizontal="left" vertical="top" wrapText="1"/>
    </xf>
    <xf numFmtId="0" fontId="34" fillId="36" borderId="53" xfId="0" applyFont="1" applyFill="1" applyBorder="1" applyAlignment="1">
      <alignment horizontal="left" vertical="top" wrapText="1"/>
    </xf>
    <xf numFmtId="0" fontId="34" fillId="36" borderId="53" xfId="0" applyFont="1" applyFill="1" applyBorder="1" applyAlignment="1">
      <alignment horizontal="center" vertical="top" wrapText="1"/>
    </xf>
    <xf numFmtId="4" fontId="18" fillId="36" borderId="57" xfId="0" applyNumberFormat="1" applyFont="1" applyFill="1" applyBorder="1" applyAlignment="1">
      <alignment horizontal="right" vertical="top" wrapText="1"/>
    </xf>
    <xf numFmtId="0" fontId="18" fillId="36" borderId="52" xfId="0" applyFont="1" applyFill="1" applyBorder="1" applyAlignment="1">
      <alignment horizontal="right" vertical="top" wrapText="1"/>
    </xf>
    <xf numFmtId="4" fontId="34" fillId="36" borderId="57" xfId="0" applyNumberFormat="1" applyFont="1" applyFill="1" applyBorder="1" applyAlignment="1">
      <alignment horizontal="right" vertical="top" wrapText="1"/>
    </xf>
    <xf numFmtId="4" fontId="34" fillId="36" borderId="68" xfId="0" applyNumberFormat="1" applyFont="1" applyFill="1" applyBorder="1" applyAlignment="1">
      <alignment horizontal="right" vertical="top" wrapText="1"/>
    </xf>
    <xf numFmtId="0" fontId="18" fillId="36" borderId="112" xfId="0" applyFont="1" applyFill="1" applyBorder="1" applyAlignment="1">
      <alignment horizontal="right" vertical="top" wrapText="1"/>
    </xf>
    <xf numFmtId="0" fontId="34" fillId="36" borderId="86" xfId="0" applyFont="1" applyFill="1" applyBorder="1" applyAlignment="1">
      <alignment vertical="top" wrapText="1"/>
    </xf>
    <xf numFmtId="0" fontId="34" fillId="36" borderId="87" xfId="0" applyFont="1" applyFill="1" applyBorder="1" applyAlignment="1">
      <alignment horizontal="left" vertical="top" wrapText="1"/>
    </xf>
    <xf numFmtId="0" fontId="34" fillId="36" borderId="87" xfId="0" applyFont="1" applyFill="1" applyBorder="1" applyAlignment="1">
      <alignment horizontal="center" vertical="top" wrapText="1"/>
    </xf>
    <xf numFmtId="169" fontId="18" fillId="36" borderId="87" xfId="0" applyNumberFormat="1" applyFont="1" applyFill="1" applyBorder="1" applyAlignment="1">
      <alignment horizontal="right" vertical="top" wrapText="1"/>
    </xf>
    <xf numFmtId="4" fontId="18" fillId="36" borderId="87" xfId="0" applyNumberFormat="1" applyFont="1" applyFill="1" applyBorder="1" applyAlignment="1">
      <alignment horizontal="right" vertical="top" wrapText="1"/>
    </xf>
    <xf numFmtId="4" fontId="18" fillId="36" borderId="88" xfId="0" applyNumberFormat="1" applyFont="1" applyFill="1" applyBorder="1" applyAlignment="1">
      <alignment horizontal="right" vertical="top" wrapText="1"/>
    </xf>
    <xf numFmtId="0" fontId="18" fillId="36" borderId="89" xfId="0" applyFont="1" applyFill="1" applyBorder="1" applyAlignment="1">
      <alignment horizontal="right" vertical="top" wrapText="1"/>
    </xf>
    <xf numFmtId="0" fontId="18" fillId="36" borderId="90" xfId="0" applyFont="1" applyFill="1" applyBorder="1" applyAlignment="1">
      <alignment horizontal="left" vertical="top" wrapText="1"/>
    </xf>
    <xf numFmtId="0" fontId="18" fillId="36" borderId="90" xfId="0" applyFont="1" applyFill="1" applyBorder="1" applyAlignment="1">
      <alignment horizontal="center" vertical="top" wrapText="1"/>
    </xf>
    <xf numFmtId="169" fontId="18" fillId="36" borderId="90" xfId="0" applyNumberFormat="1" applyFont="1" applyFill="1" applyBorder="1" applyAlignment="1">
      <alignment horizontal="right" vertical="top" wrapText="1"/>
    </xf>
    <xf numFmtId="4" fontId="18" fillId="36" borderId="90" xfId="0" applyNumberFormat="1" applyFont="1" applyFill="1" applyBorder="1" applyAlignment="1">
      <alignment horizontal="right" vertical="top" wrapText="1"/>
    </xf>
    <xf numFmtId="4" fontId="18" fillId="36" borderId="91" xfId="0" applyNumberFormat="1" applyFont="1" applyFill="1" applyBorder="1" applyAlignment="1">
      <alignment horizontal="right" vertical="top" wrapText="1"/>
    </xf>
    <xf numFmtId="4" fontId="34" fillId="36" borderId="94" xfId="0" applyNumberFormat="1" applyFont="1" applyFill="1" applyBorder="1" applyAlignment="1">
      <alignment horizontal="right" vertical="top" wrapText="1"/>
    </xf>
    <xf numFmtId="0" fontId="18" fillId="36" borderId="95" xfId="0" applyFont="1" applyFill="1" applyBorder="1" applyAlignment="1">
      <alignment horizontal="right" vertical="top" wrapText="1"/>
    </xf>
    <xf numFmtId="0" fontId="18" fillId="36" borderId="65" xfId="0" applyFont="1" applyFill="1" applyBorder="1" applyAlignment="1">
      <alignment horizontal="left" vertical="top" wrapText="1"/>
    </xf>
    <xf numFmtId="0" fontId="18" fillId="36" borderId="54" xfId="0" applyFont="1" applyFill="1" applyBorder="1" applyAlignment="1">
      <alignment horizontal="center" vertical="top" wrapText="1"/>
    </xf>
    <xf numFmtId="169" fontId="18" fillId="36" borderId="12" xfId="0" applyNumberFormat="1" applyFont="1" applyFill="1" applyBorder="1" applyAlignment="1">
      <alignment horizontal="right" vertical="top" wrapText="1"/>
    </xf>
    <xf numFmtId="4" fontId="18" fillId="36" borderId="12" xfId="0" applyNumberFormat="1" applyFont="1" applyFill="1" applyBorder="1" applyAlignment="1">
      <alignment horizontal="right" vertical="top" wrapText="1"/>
    </xf>
    <xf numFmtId="4" fontId="34" fillId="36" borderId="37" xfId="0" applyNumberFormat="1" applyFont="1" applyFill="1" applyBorder="1" applyAlignment="1">
      <alignment horizontal="right" vertical="top"/>
    </xf>
    <xf numFmtId="4" fontId="34" fillId="36" borderId="54" xfId="0" applyNumberFormat="1" applyFont="1" applyFill="1" applyBorder="1" applyAlignment="1">
      <alignment horizontal="right" vertical="top" wrapText="1"/>
    </xf>
    <xf numFmtId="3" fontId="18" fillId="36" borderId="52" xfId="0" applyNumberFormat="1" applyFont="1" applyFill="1" applyBorder="1" applyAlignment="1">
      <alignment horizontal="right" vertical="top" wrapText="1"/>
    </xf>
    <xf numFmtId="4" fontId="34" fillId="36" borderId="11" xfId="0" applyNumberFormat="1" applyFont="1" applyFill="1" applyBorder="1" applyAlignment="1">
      <alignment horizontal="right" vertical="top" wrapText="1"/>
    </xf>
    <xf numFmtId="3" fontId="18" fillId="36" borderId="67" xfId="0" applyNumberFormat="1" applyFont="1" applyFill="1" applyBorder="1" applyAlignment="1">
      <alignment horizontal="right" vertical="top" wrapText="1"/>
    </xf>
    <xf numFmtId="4" fontId="66" fillId="36" borderId="53" xfId="0" applyNumberFormat="1" applyFont="1" applyFill="1" applyBorder="1" applyAlignment="1">
      <alignment horizontal="right" vertical="top" wrapText="1"/>
    </xf>
    <xf numFmtId="170" fontId="18" fillId="36" borderId="65" xfId="0" applyNumberFormat="1" applyFont="1" applyFill="1" applyBorder="1" applyAlignment="1">
      <alignment horizontal="right" vertical="top" wrapText="1"/>
    </xf>
    <xf numFmtId="170" fontId="18" fillId="36" borderId="53" xfId="0" applyNumberFormat="1" applyFont="1" applyFill="1" applyBorder="1" applyAlignment="1">
      <alignment horizontal="right" vertical="top" wrapText="1"/>
    </xf>
    <xf numFmtId="4" fontId="34" fillId="36" borderId="62" xfId="0" applyNumberFormat="1" applyFont="1" applyFill="1" applyBorder="1" applyAlignment="1">
      <alignment horizontal="right" vertical="top" wrapText="1"/>
    </xf>
    <xf numFmtId="0" fontId="34" fillId="36" borderId="97" xfId="0" applyFont="1" applyFill="1" applyBorder="1" applyAlignment="1">
      <alignment horizontal="left" vertical="top" wrapText="1"/>
    </xf>
    <xf numFmtId="0" fontId="34" fillId="36" borderId="56" xfId="0" applyFont="1" applyFill="1" applyBorder="1" applyAlignment="1">
      <alignment horizontal="left" vertical="top" wrapText="1"/>
    </xf>
    <xf numFmtId="0" fontId="34" fillId="36" borderId="56" xfId="0" applyFont="1" applyFill="1" applyBorder="1" applyAlignment="1">
      <alignment horizontal="center" vertical="top" wrapText="1"/>
    </xf>
    <xf numFmtId="169" fontId="18" fillId="36" borderId="56" xfId="0" applyNumberFormat="1" applyFont="1" applyFill="1" applyBorder="1" applyAlignment="1">
      <alignment horizontal="right" vertical="top" wrapText="1"/>
    </xf>
    <xf numFmtId="4" fontId="18" fillId="36" borderId="56" xfId="0" applyNumberFormat="1" applyFont="1" applyFill="1" applyBorder="1" applyAlignment="1">
      <alignment horizontal="right" vertical="top" wrapText="1"/>
    </xf>
    <xf numFmtId="4" fontId="18" fillId="36" borderId="98" xfId="0" applyNumberFormat="1" applyFont="1" applyFill="1" applyBorder="1" applyAlignment="1">
      <alignment horizontal="right" vertical="top" wrapText="1"/>
    </xf>
    <xf numFmtId="0" fontId="18" fillId="36" borderId="100" xfId="0" applyFont="1" applyFill="1" applyBorder="1" applyAlignment="1">
      <alignment horizontal="right" vertical="top" wrapText="1"/>
    </xf>
    <xf numFmtId="0" fontId="18" fillId="36" borderId="101" xfId="0" applyFont="1" applyFill="1" applyBorder="1" applyAlignment="1">
      <alignment horizontal="left" vertical="top" wrapText="1"/>
    </xf>
    <xf numFmtId="0" fontId="18" fillId="36" borderId="101" xfId="0" applyFont="1" applyFill="1" applyBorder="1" applyAlignment="1">
      <alignment horizontal="center" vertical="top" wrapText="1"/>
    </xf>
    <xf numFmtId="169" fontId="18" fillId="36" borderId="101" xfId="0" applyNumberFormat="1" applyFont="1" applyFill="1" applyBorder="1" applyAlignment="1">
      <alignment horizontal="right" vertical="top" wrapText="1"/>
    </xf>
    <xf numFmtId="4" fontId="18" fillId="36" borderId="101" xfId="0" applyNumberFormat="1" applyFont="1" applyFill="1" applyBorder="1" applyAlignment="1">
      <alignment horizontal="right" vertical="top" wrapText="1"/>
    </xf>
    <xf numFmtId="4" fontId="18" fillId="36" borderId="37" xfId="0" applyNumberFormat="1" applyFont="1" applyFill="1" applyBorder="1" applyAlignment="1">
      <alignment horizontal="right" vertical="top" wrapText="1"/>
    </xf>
    <xf numFmtId="1" fontId="18" fillId="36" borderId="67" xfId="43" applyNumberFormat="1" applyFont="1" applyFill="1" applyBorder="1" applyAlignment="1">
      <alignment horizontal="right" vertical="top" wrapText="1"/>
    </xf>
    <xf numFmtId="4" fontId="20" fillId="36" borderId="12" xfId="0" applyNumberFormat="1" applyFont="1" applyFill="1" applyBorder="1" applyAlignment="1">
      <alignment horizontal="right" vertical="top" wrapText="1"/>
    </xf>
    <xf numFmtId="0" fontId="59" fillId="36" borderId="63" xfId="0" applyFont="1" applyFill="1" applyBorder="1" applyAlignment="1">
      <alignment horizontal="center" vertical="center" wrapText="1"/>
    </xf>
    <xf numFmtId="0" fontId="19" fillId="36" borderId="0" xfId="46" applyFill="1"/>
    <xf numFmtId="0" fontId="19" fillId="36" borderId="0" xfId="46" applyFill="1" applyAlignment="1">
      <alignment horizontal="center" vertical="center"/>
    </xf>
    <xf numFmtId="0" fontId="19" fillId="0" borderId="0" xfId="46"/>
    <xf numFmtId="0" fontId="21" fillId="36" borderId="16" xfId="46" applyFont="1" applyFill="1" applyBorder="1" applyAlignment="1">
      <alignment horizontal="center" wrapText="1"/>
    </xf>
    <xf numFmtId="0" fontId="21" fillId="36" borderId="0" xfId="46" applyFont="1" applyFill="1" applyAlignment="1">
      <alignment horizontal="left" wrapText="1"/>
    </xf>
    <xf numFmtId="0" fontId="28" fillId="36" borderId="0" xfId="46" applyFont="1" applyFill="1" applyAlignment="1">
      <alignment horizontal="left"/>
    </xf>
    <xf numFmtId="0" fontId="19" fillId="36" borderId="17" xfId="46" applyFill="1" applyBorder="1"/>
    <xf numFmtId="0" fontId="20" fillId="36" borderId="0" xfId="46" applyFont="1" applyFill="1" applyAlignment="1">
      <alignment horizontal="left" wrapText="1"/>
    </xf>
    <xf numFmtId="43" fontId="26" fillId="33" borderId="43" xfId="47" applyFont="1" applyFill="1" applyBorder="1" applyAlignment="1">
      <alignment vertical="center"/>
    </xf>
    <xf numFmtId="10" fontId="19" fillId="36" borderId="43" xfId="46" applyNumberFormat="1" applyFill="1" applyBorder="1"/>
    <xf numFmtId="0" fontId="19" fillId="36" borderId="43" xfId="46" applyFill="1" applyBorder="1" applyAlignment="1">
      <alignment horizontal="center" vertical="center"/>
    </xf>
    <xf numFmtId="43" fontId="26" fillId="42" borderId="43" xfId="47" applyFont="1" applyFill="1" applyBorder="1" applyAlignment="1">
      <alignment vertical="center"/>
    </xf>
    <xf numFmtId="10" fontId="19" fillId="42" borderId="43" xfId="46" applyNumberFormat="1" applyFill="1" applyBorder="1"/>
    <xf numFmtId="10" fontId="19" fillId="42" borderId="145" xfId="46" applyNumberFormat="1" applyFill="1" applyBorder="1"/>
    <xf numFmtId="10" fontId="19" fillId="42" borderId="43" xfId="46" applyNumberFormat="1" applyFill="1" applyBorder="1" applyAlignment="1">
      <alignment horizontal="center"/>
    </xf>
    <xf numFmtId="0" fontId="68" fillId="42" borderId="145" xfId="46" applyFont="1" applyFill="1" applyBorder="1"/>
    <xf numFmtId="0" fontId="68" fillId="42" borderId="146" xfId="46" applyFont="1" applyFill="1" applyBorder="1"/>
    <xf numFmtId="0" fontId="68" fillId="42" borderId="147" xfId="46" applyFont="1" applyFill="1" applyBorder="1"/>
    <xf numFmtId="43" fontId="26" fillId="33" borderId="46" xfId="47" applyFont="1" applyFill="1" applyBorder="1" applyAlignment="1">
      <alignment vertical="center"/>
    </xf>
    <xf numFmtId="10" fontId="19" fillId="36" borderId="46" xfId="46" applyNumberFormat="1" applyFill="1" applyBorder="1"/>
    <xf numFmtId="0" fontId="19" fillId="36" borderId="46" xfId="46" applyFill="1" applyBorder="1" applyAlignment="1">
      <alignment horizontal="center" vertical="center"/>
    </xf>
    <xf numFmtId="43" fontId="26" fillId="42" borderId="46" xfId="47" applyFont="1" applyFill="1" applyBorder="1" applyAlignment="1">
      <alignment vertical="center"/>
    </xf>
    <xf numFmtId="10" fontId="19" fillId="42" borderId="46" xfId="46" applyNumberFormat="1" applyFill="1" applyBorder="1"/>
    <xf numFmtId="10" fontId="19" fillId="42" borderId="49" xfId="46" applyNumberFormat="1" applyFill="1" applyBorder="1"/>
    <xf numFmtId="10" fontId="19" fillId="42" borderId="46" xfId="46" applyNumberFormat="1" applyFill="1" applyBorder="1" applyAlignment="1">
      <alignment horizontal="center"/>
    </xf>
    <xf numFmtId="0" fontId="68" fillId="42" borderId="49" xfId="46" applyFont="1" applyFill="1" applyBorder="1"/>
    <xf numFmtId="0" fontId="68" fillId="42" borderId="148" xfId="46" applyFont="1" applyFill="1" applyBorder="1"/>
    <xf numFmtId="0" fontId="68" fillId="42" borderId="50" xfId="46" applyFont="1" applyFill="1" applyBorder="1"/>
    <xf numFmtId="43" fontId="26" fillId="42" borderId="51" xfId="47" applyFont="1" applyFill="1" applyBorder="1" applyAlignment="1">
      <alignment vertical="center"/>
    </xf>
    <xf numFmtId="10" fontId="19" fillId="42" borderId="51" xfId="46" applyNumberFormat="1" applyFill="1" applyBorder="1"/>
    <xf numFmtId="10" fontId="19" fillId="42" borderId="51" xfId="46" applyNumberFormat="1" applyFill="1" applyBorder="1" applyAlignment="1">
      <alignment horizontal="center"/>
    </xf>
    <xf numFmtId="0" fontId="68" fillId="42" borderId="77" xfId="46" applyFont="1" applyFill="1" applyBorder="1"/>
    <xf numFmtId="0" fontId="68" fillId="42" borderId="78" xfId="46" applyFont="1" applyFill="1" applyBorder="1"/>
    <xf numFmtId="0" fontId="68" fillId="42" borderId="149" xfId="46" applyFont="1" applyFill="1" applyBorder="1"/>
    <xf numFmtId="43" fontId="26" fillId="43" borderId="44" xfId="47" applyFont="1" applyFill="1" applyBorder="1" applyAlignment="1">
      <alignment vertical="center"/>
    </xf>
    <xf numFmtId="10" fontId="19" fillId="43" borderId="44" xfId="46" applyNumberFormat="1" applyFill="1" applyBorder="1"/>
    <xf numFmtId="10" fontId="19" fillId="43" borderId="18" xfId="46" applyNumberFormat="1" applyFill="1" applyBorder="1"/>
    <xf numFmtId="10" fontId="19" fillId="43" borderId="44" xfId="46" applyNumberFormat="1" applyFill="1" applyBorder="1" applyAlignment="1">
      <alignment horizontal="center"/>
    </xf>
    <xf numFmtId="0" fontId="68" fillId="43" borderId="145" xfId="46" applyFont="1" applyFill="1" applyBorder="1"/>
    <xf numFmtId="0" fontId="19" fillId="43" borderId="146" xfId="46" applyFill="1" applyBorder="1"/>
    <xf numFmtId="0" fontId="19" fillId="43" borderId="147" xfId="46" applyFill="1" applyBorder="1"/>
    <xf numFmtId="43" fontId="26" fillId="43" borderId="46" xfId="47" applyFont="1" applyFill="1" applyBorder="1" applyAlignment="1">
      <alignment vertical="center"/>
    </xf>
    <xf numFmtId="10" fontId="19" fillId="43" borderId="49" xfId="46" applyNumberFormat="1" applyFill="1" applyBorder="1"/>
    <xf numFmtId="10" fontId="19" fillId="43" borderId="46" xfId="46" applyNumberFormat="1" applyFill="1" applyBorder="1" applyAlignment="1">
      <alignment horizontal="center"/>
    </xf>
    <xf numFmtId="0" fontId="68" fillId="43" borderId="49" xfId="46" applyFont="1" applyFill="1" applyBorder="1"/>
    <xf numFmtId="0" fontId="19" fillId="43" borderId="148" xfId="46" applyFill="1" applyBorder="1"/>
    <xf numFmtId="0" fontId="19" fillId="43" borderId="50" xfId="46" applyFill="1" applyBorder="1"/>
    <xf numFmtId="43" fontId="26" fillId="43" borderId="51" xfId="47" applyFont="1" applyFill="1" applyBorder="1" applyAlignment="1">
      <alignment vertical="center"/>
    </xf>
    <xf numFmtId="10" fontId="19" fillId="43" borderId="77" xfId="46" applyNumberFormat="1" applyFill="1" applyBorder="1"/>
    <xf numFmtId="10" fontId="19" fillId="43" borderId="51" xfId="46" applyNumberFormat="1" applyFill="1" applyBorder="1" applyAlignment="1">
      <alignment horizontal="center"/>
    </xf>
    <xf numFmtId="0" fontId="68" fillId="43" borderId="77" xfId="46" applyFont="1" applyFill="1" applyBorder="1"/>
    <xf numFmtId="0" fontId="19" fillId="43" borderId="78" xfId="46" applyFill="1" applyBorder="1"/>
    <xf numFmtId="0" fontId="19" fillId="43" borderId="149" xfId="46" applyFill="1" applyBorder="1"/>
    <xf numFmtId="43" fontId="26" fillId="44" borderId="46" xfId="47" applyFont="1" applyFill="1" applyBorder="1" applyAlignment="1">
      <alignment vertical="center"/>
    </xf>
    <xf numFmtId="10" fontId="19" fillId="44" borderId="46" xfId="46" applyNumberFormat="1" applyFill="1" applyBorder="1"/>
    <xf numFmtId="10" fontId="19" fillId="44" borderId="49" xfId="46" applyNumberFormat="1" applyFill="1" applyBorder="1"/>
    <xf numFmtId="10" fontId="19" fillId="44" borderId="46" xfId="46" applyNumberFormat="1" applyFill="1" applyBorder="1" applyAlignment="1">
      <alignment horizontal="center"/>
    </xf>
    <xf numFmtId="0" fontId="68" fillId="44" borderId="49" xfId="46" applyFont="1" applyFill="1" applyBorder="1"/>
    <xf numFmtId="0" fontId="68" fillId="44" borderId="148" xfId="46" applyFont="1" applyFill="1" applyBorder="1"/>
    <xf numFmtId="0" fontId="68" fillId="44" borderId="50" xfId="46" applyFont="1" applyFill="1" applyBorder="1"/>
    <xf numFmtId="43" fontId="26" fillId="44" borderId="51" xfId="47" applyFont="1" applyFill="1" applyBorder="1" applyAlignment="1">
      <alignment vertical="center"/>
    </xf>
    <xf numFmtId="10" fontId="19" fillId="44" borderId="51" xfId="46" applyNumberFormat="1" applyFill="1" applyBorder="1"/>
    <xf numFmtId="10" fontId="19" fillId="44" borderId="51" xfId="46" applyNumberFormat="1" applyFill="1" applyBorder="1" applyAlignment="1">
      <alignment horizontal="center"/>
    </xf>
    <xf numFmtId="0" fontId="68" fillId="44" borderId="77" xfId="46" applyFont="1" applyFill="1" applyBorder="1"/>
    <xf numFmtId="0" fontId="68" fillId="44" borderId="78" xfId="46" applyFont="1" applyFill="1" applyBorder="1"/>
    <xf numFmtId="0" fontId="68" fillId="44" borderId="149" xfId="46" applyFont="1" applyFill="1" applyBorder="1"/>
    <xf numFmtId="43" fontId="35" fillId="36" borderId="14" xfId="46" applyNumberFormat="1" applyFont="1" applyFill="1" applyBorder="1"/>
    <xf numFmtId="43" fontId="35" fillId="36" borderId="0" xfId="46" applyNumberFormat="1" applyFont="1" applyFill="1"/>
    <xf numFmtId="10" fontId="19" fillId="36" borderId="0" xfId="46" applyNumberFormat="1" applyFill="1"/>
    <xf numFmtId="0" fontId="19" fillId="34" borderId="86" xfId="46" applyFill="1" applyBorder="1" applyAlignment="1">
      <alignment horizontal="center"/>
    </xf>
    <xf numFmtId="0" fontId="19" fillId="34" borderId="88" xfId="46" applyFill="1" applyBorder="1" applyAlignment="1">
      <alignment horizontal="center"/>
    </xf>
    <xf numFmtId="0" fontId="19" fillId="36" borderId="89" xfId="46" applyFill="1" applyBorder="1" applyAlignment="1">
      <alignment horizontal="center"/>
    </xf>
    <xf numFmtId="10" fontId="19" fillId="36" borderId="91" xfId="46" applyNumberFormat="1" applyFill="1" applyBorder="1" applyAlignment="1">
      <alignment horizontal="center"/>
    </xf>
    <xf numFmtId="43" fontId="26" fillId="33" borderId="51" xfId="47" applyFont="1" applyFill="1" applyBorder="1" applyAlignment="1">
      <alignment vertical="center"/>
    </xf>
    <xf numFmtId="10" fontId="19" fillId="36" borderId="51" xfId="46" applyNumberFormat="1" applyFill="1" applyBorder="1"/>
    <xf numFmtId="0" fontId="19" fillId="36" borderId="51" xfId="46" applyFill="1" applyBorder="1" applyAlignment="1">
      <alignment horizontal="center" vertical="center"/>
    </xf>
    <xf numFmtId="0" fontId="19" fillId="36" borderId="92" xfId="46" applyFill="1" applyBorder="1" applyAlignment="1">
      <alignment horizontal="center"/>
    </xf>
    <xf numFmtId="10" fontId="19" fillId="36" borderId="94" xfId="46" applyNumberFormat="1" applyFill="1" applyBorder="1" applyAlignment="1">
      <alignment horizontal="center"/>
    </xf>
    <xf numFmtId="0" fontId="18" fillId="45" borderId="22" xfId="0" applyFont="1" applyFill="1" applyBorder="1" applyAlignment="1">
      <alignment horizontal="right" vertical="top" wrapText="1"/>
    </xf>
    <xf numFmtId="0" fontId="18" fillId="45" borderId="12" xfId="0" applyFont="1" applyFill="1" applyBorder="1" applyAlignment="1">
      <alignment wrapText="1"/>
    </xf>
    <xf numFmtId="0" fontId="18" fillId="36" borderId="12" xfId="0" applyFont="1" applyFill="1" applyBorder="1" applyAlignment="1">
      <alignment horizontal="center" vertical="top" wrapText="1"/>
    </xf>
    <xf numFmtId="4" fontId="18" fillId="36" borderId="23" xfId="0" applyNumberFormat="1" applyFont="1" applyFill="1" applyBorder="1" applyAlignment="1">
      <alignment horizontal="right" vertical="top" wrapText="1"/>
    </xf>
    <xf numFmtId="0" fontId="18" fillId="45" borderId="22" xfId="0" applyFont="1" applyFill="1" applyBorder="1" applyAlignment="1">
      <alignment vertical="top"/>
    </xf>
    <xf numFmtId="0" fontId="18" fillId="45" borderId="12" xfId="0" applyFont="1" applyFill="1" applyBorder="1" applyAlignment="1">
      <alignment horizontal="left" vertical="top" wrapText="1"/>
    </xf>
    <xf numFmtId="4" fontId="67" fillId="45" borderId="12" xfId="0" applyNumberFormat="1" applyFont="1" applyFill="1" applyBorder="1" applyAlignment="1">
      <alignment vertical="top"/>
    </xf>
    <xf numFmtId="0" fontId="18" fillId="45" borderId="22" xfId="0" applyFont="1" applyFill="1" applyBorder="1" applyAlignment="1">
      <alignment horizontal="right" vertical="top"/>
    </xf>
    <xf numFmtId="0" fontId="18" fillId="45" borderId="12" xfId="0" applyFont="1" applyFill="1" applyBorder="1" applyAlignment="1">
      <alignment vertical="top" wrapText="1"/>
    </xf>
    <xf numFmtId="0" fontId="18" fillId="36" borderId="22" xfId="0" applyFont="1" applyFill="1" applyBorder="1" applyAlignment="1">
      <alignment horizontal="right" vertical="top" wrapText="1"/>
    </xf>
    <xf numFmtId="0" fontId="18" fillId="36" borderId="12" xfId="0" applyFont="1" applyFill="1" applyBorder="1" applyAlignment="1">
      <alignment horizontal="left" vertical="top" wrapText="1"/>
    </xf>
    <xf numFmtId="4" fontId="34" fillId="36" borderId="31" xfId="0" applyNumberFormat="1" applyFont="1" applyFill="1" applyBorder="1" applyAlignment="1">
      <alignment horizontal="right" vertical="top" wrapText="1"/>
    </xf>
    <xf numFmtId="0" fontId="18" fillId="45" borderId="12" xfId="0" applyFont="1" applyFill="1" applyBorder="1"/>
    <xf numFmtId="0" fontId="18" fillId="45" borderId="12" xfId="0" applyFont="1" applyFill="1" applyBorder="1" applyAlignment="1">
      <alignment horizontal="left"/>
    </xf>
    <xf numFmtId="0" fontId="18" fillId="45" borderId="12" xfId="0" applyFont="1" applyFill="1" applyBorder="1" applyAlignment="1">
      <alignment horizontal="left" vertical="top"/>
    </xf>
    <xf numFmtId="0" fontId="18" fillId="36" borderId="12" xfId="0" applyFont="1" applyFill="1" applyBorder="1" applyAlignment="1">
      <alignment horizontal="left" vertical="top"/>
    </xf>
    <xf numFmtId="0" fontId="20" fillId="45" borderId="22" xfId="0" applyFont="1" applyFill="1" applyBorder="1" applyAlignment="1">
      <alignment horizontal="right" vertical="top"/>
    </xf>
    <xf numFmtId="10" fontId="21" fillId="36" borderId="17" xfId="42" applyNumberFormat="1" applyFont="1" applyFill="1" applyBorder="1" applyAlignment="1">
      <alignment horizontal="right" vertical="center" wrapText="1"/>
    </xf>
    <xf numFmtId="44" fontId="0" fillId="36" borderId="0" xfId="0" applyNumberFormat="1" applyFill="1"/>
    <xf numFmtId="10" fontId="19" fillId="43" borderId="46" xfId="46" applyNumberFormat="1" applyFill="1" applyBorder="1"/>
    <xf numFmtId="10" fontId="19" fillId="43" borderId="51" xfId="46" applyNumberFormat="1" applyFill="1" applyBorder="1"/>
    <xf numFmtId="0" fontId="19" fillId="44" borderId="148" xfId="46" applyFill="1" applyBorder="1"/>
    <xf numFmtId="0" fontId="19" fillId="44" borderId="50" xfId="46" applyFill="1" applyBorder="1"/>
    <xf numFmtId="0" fontId="48" fillId="36" borderId="116" xfId="0" applyFont="1" applyFill="1" applyBorder="1" applyAlignment="1">
      <alignment horizontal="left" vertical="center" wrapText="1"/>
    </xf>
    <xf numFmtId="0" fontId="48" fillId="36" borderId="117" xfId="0" applyFont="1" applyFill="1" applyBorder="1" applyAlignment="1">
      <alignment horizontal="left" vertical="center" wrapText="1"/>
    </xf>
    <xf numFmtId="0" fontId="48" fillId="36" borderId="0" xfId="0" applyFont="1" applyFill="1" applyAlignment="1">
      <alignment horizontal="left" vertical="center" wrapText="1"/>
    </xf>
    <xf numFmtId="0" fontId="48" fillId="36" borderId="119" xfId="0" applyFont="1" applyFill="1" applyBorder="1" applyAlignment="1">
      <alignment horizontal="left" vertical="center" wrapText="1"/>
    </xf>
    <xf numFmtId="0" fontId="0" fillId="36" borderId="0" xfId="0" applyFill="1" applyAlignment="1">
      <alignment horizontal="left" wrapText="1"/>
    </xf>
    <xf numFmtId="0" fontId="0" fillId="36" borderId="119" xfId="0" applyFill="1" applyBorder="1" applyAlignment="1">
      <alignment horizontal="left" wrapText="1"/>
    </xf>
    <xf numFmtId="0" fontId="43" fillId="36" borderId="118" xfId="0" applyFont="1" applyFill="1" applyBorder="1" applyAlignment="1">
      <alignment horizontal="center" vertical="center"/>
    </xf>
    <xf numFmtId="0" fontId="43" fillId="36" borderId="0" xfId="0" applyFont="1" applyFill="1" applyAlignment="1">
      <alignment horizontal="center" vertical="center"/>
    </xf>
    <xf numFmtId="0" fontId="43" fillId="36" borderId="119" xfId="0" applyFont="1" applyFill="1" applyBorder="1" applyAlignment="1">
      <alignment horizontal="center" vertical="center"/>
    </xf>
    <xf numFmtId="0" fontId="44" fillId="36" borderId="118" xfId="0" applyFont="1" applyFill="1" applyBorder="1" applyAlignment="1">
      <alignment horizontal="center" vertical="center"/>
    </xf>
    <xf numFmtId="0" fontId="44" fillId="36" borderId="0" xfId="0" applyFont="1" applyFill="1" applyAlignment="1">
      <alignment horizontal="center" vertical="center"/>
    </xf>
    <xf numFmtId="0" fontId="44" fillId="36" borderId="119" xfId="0" applyFont="1" applyFill="1" applyBorder="1" applyAlignment="1">
      <alignment horizontal="center" vertical="center"/>
    </xf>
    <xf numFmtId="0" fontId="45" fillId="36" borderId="118" xfId="0" applyFont="1" applyFill="1" applyBorder="1" applyAlignment="1">
      <alignment horizontal="center" vertical="center"/>
    </xf>
    <xf numFmtId="0" fontId="45" fillId="36" borderId="0" xfId="0" applyFont="1" applyFill="1" applyAlignment="1">
      <alignment horizontal="center" vertical="center"/>
    </xf>
    <xf numFmtId="0" fontId="45" fillId="36" borderId="119" xfId="0" applyFont="1" applyFill="1" applyBorder="1" applyAlignment="1">
      <alignment horizontal="center" vertical="center"/>
    </xf>
    <xf numFmtId="0" fontId="46" fillId="36" borderId="120" xfId="0" applyFont="1" applyFill="1" applyBorder="1" applyAlignment="1">
      <alignment horizontal="center" vertical="center"/>
    </xf>
    <xf numFmtId="0" fontId="46" fillId="36" borderId="121" xfId="0" applyFont="1" applyFill="1" applyBorder="1" applyAlignment="1">
      <alignment horizontal="center" vertical="center"/>
    </xf>
    <xf numFmtId="0" fontId="46" fillId="36" borderId="122" xfId="0" applyFont="1" applyFill="1" applyBorder="1" applyAlignment="1">
      <alignment horizontal="center" vertical="center"/>
    </xf>
    <xf numFmtId="0" fontId="23" fillId="33" borderId="30" xfId="43" applyNumberFormat="1" applyFont="1" applyFill="1" applyBorder="1" applyAlignment="1">
      <alignment horizontal="left" vertical="center" wrapText="1"/>
    </xf>
    <xf numFmtId="0" fontId="0" fillId="0" borderId="30" xfId="0" applyBorder="1"/>
    <xf numFmtId="0" fontId="24" fillId="33" borderId="0" xfId="43" applyNumberFormat="1" applyFont="1" applyFill="1" applyBorder="1" applyAlignment="1">
      <alignment horizontal="left" vertical="center" wrapText="1"/>
    </xf>
    <xf numFmtId="0" fontId="0" fillId="0" borderId="0" xfId="0"/>
    <xf numFmtId="49" fontId="24" fillId="33" borderId="0" xfId="43" applyNumberFormat="1" applyFont="1" applyFill="1" applyBorder="1" applyAlignment="1">
      <alignment horizontal="left" vertical="center" wrapText="1"/>
    </xf>
    <xf numFmtId="0" fontId="0" fillId="0" borderId="28" xfId="0" applyBorder="1"/>
    <xf numFmtId="0" fontId="21" fillId="0" borderId="0" xfId="0" applyFont="1" applyAlignment="1">
      <alignment horizontal="center" vertical="center" wrapText="1"/>
    </xf>
    <xf numFmtId="0" fontId="38" fillId="37" borderId="102"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right" vertical="center"/>
    </xf>
    <xf numFmtId="0" fontId="18" fillId="0" borderId="16" xfId="0" applyFont="1" applyBorder="1" applyAlignment="1">
      <alignment horizontal="center" vertical="center"/>
    </xf>
    <xf numFmtId="0" fontId="18" fillId="0" borderId="0" xfId="0" applyFont="1" applyAlignment="1">
      <alignment horizontal="center" vertical="center"/>
    </xf>
    <xf numFmtId="0" fontId="18" fillId="0" borderId="17" xfId="0" applyFont="1" applyBorder="1" applyAlignment="1">
      <alignment horizontal="center" vertical="center"/>
    </xf>
    <xf numFmtId="0" fontId="38" fillId="37" borderId="90" xfId="0" applyFont="1" applyFill="1" applyBorder="1" applyAlignment="1">
      <alignment horizontal="right" vertical="center"/>
    </xf>
    <xf numFmtId="10" fontId="38" fillId="37" borderId="90" xfId="42" applyNumberFormat="1" applyFont="1" applyFill="1" applyBorder="1" applyAlignment="1">
      <alignment horizontal="right" vertical="center"/>
    </xf>
    <xf numFmtId="0" fontId="38" fillId="37" borderId="134" xfId="0" applyFont="1" applyFill="1" applyBorder="1" applyAlignment="1">
      <alignment horizontal="right" vertical="center"/>
    </xf>
    <xf numFmtId="0" fontId="21" fillId="0" borderId="16" xfId="0" applyFont="1" applyBorder="1" applyAlignment="1">
      <alignment horizontal="right" vertical="center" wrapText="1"/>
    </xf>
    <xf numFmtId="0" fontId="21" fillId="0" borderId="0" xfId="0" applyFont="1" applyAlignment="1">
      <alignment horizontal="right" vertical="center" wrapText="1"/>
    </xf>
    <xf numFmtId="0" fontId="21" fillId="0" borderId="17" xfId="0" applyFont="1" applyBorder="1" applyAlignment="1">
      <alignment horizontal="right" vertical="center" wrapText="1"/>
    </xf>
    <xf numFmtId="0" fontId="21" fillId="0" borderId="16" xfId="0" applyFont="1" applyBorder="1" applyAlignment="1">
      <alignment horizontal="center" vertical="center"/>
    </xf>
    <xf numFmtId="0" fontId="21" fillId="0" borderId="16" xfId="0" applyFont="1" applyBorder="1" applyAlignment="1">
      <alignment horizontal="left" vertical="center"/>
    </xf>
    <xf numFmtId="0" fontId="21" fillId="0" borderId="0" xfId="0" applyFont="1" applyAlignment="1">
      <alignment horizontal="left" vertical="center"/>
    </xf>
    <xf numFmtId="0" fontId="21" fillId="36" borderId="0" xfId="0" applyFont="1" applyFill="1" applyAlignment="1">
      <alignment horizontal="center" vertical="center" wrapText="1"/>
    </xf>
    <xf numFmtId="0" fontId="21" fillId="36" borderId="0" xfId="0" applyFont="1" applyFill="1" applyAlignment="1">
      <alignment horizontal="center" vertical="center"/>
    </xf>
    <xf numFmtId="0" fontId="21" fillId="36" borderId="0" xfId="0" applyFont="1" applyFill="1" applyAlignment="1">
      <alignment horizontal="right" vertical="center"/>
    </xf>
    <xf numFmtId="0" fontId="21" fillId="36" borderId="16" xfId="0" applyFont="1" applyFill="1" applyBorder="1" applyAlignment="1">
      <alignment horizontal="right" vertical="center" wrapText="1"/>
    </xf>
    <xf numFmtId="0" fontId="21" fillId="36" borderId="0" xfId="0" applyFont="1" applyFill="1" applyAlignment="1">
      <alignment horizontal="right" vertical="center" wrapText="1"/>
    </xf>
    <xf numFmtId="0" fontId="21" fillId="36" borderId="17" xfId="0" applyFont="1" applyFill="1" applyBorder="1" applyAlignment="1">
      <alignment horizontal="right" vertical="center" wrapText="1"/>
    </xf>
    <xf numFmtId="0" fontId="21" fillId="36" borderId="16" xfId="0" applyFont="1" applyFill="1" applyBorder="1" applyAlignment="1">
      <alignment horizontal="center" vertical="center"/>
    </xf>
    <xf numFmtId="0" fontId="21" fillId="36" borderId="17" xfId="0" applyFont="1" applyFill="1" applyBorder="1" applyAlignment="1">
      <alignment horizontal="center" vertical="center"/>
    </xf>
    <xf numFmtId="0" fontId="18" fillId="36" borderId="16" xfId="0" applyFont="1" applyFill="1" applyBorder="1" applyAlignment="1">
      <alignment horizontal="center" vertical="center"/>
    </xf>
    <xf numFmtId="0" fontId="18" fillId="36" borderId="0" xfId="0" applyFont="1" applyFill="1" applyAlignment="1">
      <alignment horizontal="center" vertical="center"/>
    </xf>
    <xf numFmtId="0" fontId="18" fillId="36" borderId="17" xfId="0" applyFont="1" applyFill="1" applyBorder="1" applyAlignment="1">
      <alignment horizontal="center" vertical="center"/>
    </xf>
    <xf numFmtId="0" fontId="21" fillId="36" borderId="16" xfId="0" applyFont="1" applyFill="1" applyBorder="1" applyAlignment="1">
      <alignment horizontal="left" vertical="center"/>
    </xf>
    <xf numFmtId="0" fontId="21" fillId="36" borderId="0" xfId="0" applyFont="1" applyFill="1" applyAlignment="1">
      <alignment horizontal="left" vertical="center"/>
    </xf>
    <xf numFmtId="0" fontId="21" fillId="0" borderId="0" xfId="0" applyFont="1" applyAlignment="1">
      <alignment horizontal="left" vertical="center" wrapText="1"/>
    </xf>
    <xf numFmtId="0" fontId="56" fillId="36" borderId="0" xfId="0" applyFont="1" applyFill="1" applyAlignment="1">
      <alignment horizontal="center" vertical="center" wrapText="1"/>
    </xf>
    <xf numFmtId="0" fontId="56" fillId="36" borderId="17" xfId="0" applyFont="1" applyFill="1" applyBorder="1" applyAlignment="1">
      <alignment horizontal="center" vertical="center" wrapText="1"/>
    </xf>
    <xf numFmtId="0" fontId="56" fillId="36" borderId="0" xfId="0" applyFont="1" applyFill="1" applyAlignment="1">
      <alignment horizontal="right" vertical="center" wrapText="1"/>
    </xf>
    <xf numFmtId="0" fontId="56" fillId="36" borderId="17" xfId="0" applyFont="1" applyFill="1" applyBorder="1" applyAlignment="1">
      <alignment horizontal="right" vertical="center" wrapText="1"/>
    </xf>
    <xf numFmtId="0" fontId="57" fillId="36" borderId="16" xfId="0" applyFont="1" applyFill="1" applyBorder="1" applyAlignment="1">
      <alignment horizontal="right" vertical="center" wrapText="1"/>
    </xf>
    <xf numFmtId="0" fontId="57" fillId="36" borderId="0" xfId="0" applyFont="1" applyFill="1" applyAlignment="1">
      <alignment horizontal="right" vertical="center" wrapText="1"/>
    </xf>
    <xf numFmtId="0" fontId="57" fillId="36" borderId="17" xfId="0" applyFont="1" applyFill="1" applyBorder="1" applyAlignment="1">
      <alignment horizontal="right" vertical="center" wrapText="1"/>
    </xf>
    <xf numFmtId="0" fontId="0" fillId="36" borderId="0" xfId="0" applyFill="1"/>
    <xf numFmtId="49" fontId="24" fillId="33" borderId="17" xfId="43" applyNumberFormat="1" applyFont="1" applyFill="1" applyBorder="1" applyAlignment="1">
      <alignment horizontal="left" vertical="center" wrapText="1"/>
    </xf>
    <xf numFmtId="0" fontId="23" fillId="33" borderId="36" xfId="43" applyNumberFormat="1" applyFont="1" applyFill="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165" fontId="23" fillId="0" borderId="38" xfId="43" applyNumberFormat="1" applyFont="1" applyFill="1"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24" fillId="33" borderId="14" xfId="43"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31" fillId="33" borderId="0" xfId="43" applyNumberFormat="1" applyFont="1" applyFill="1" applyBorder="1" applyAlignment="1">
      <alignment horizontal="left" vertical="center" wrapText="1"/>
    </xf>
    <xf numFmtId="0" fontId="0" fillId="0" borderId="0" xfId="0" applyAlignment="1">
      <alignment vertical="center"/>
    </xf>
    <xf numFmtId="0" fontId="0" fillId="0" borderId="17" xfId="0" applyBorder="1" applyAlignment="1">
      <alignment vertical="center"/>
    </xf>
    <xf numFmtId="0" fontId="20" fillId="36" borderId="0" xfId="0" applyFont="1" applyFill="1" applyAlignment="1">
      <alignment horizontal="left" wrapText="1"/>
    </xf>
    <xf numFmtId="0" fontId="20" fillId="36" borderId="17" xfId="0" applyFont="1" applyFill="1" applyBorder="1" applyAlignment="1">
      <alignment horizontal="left" wrapText="1"/>
    </xf>
    <xf numFmtId="0" fontId="21" fillId="36" borderId="13" xfId="0" applyFont="1" applyFill="1" applyBorder="1" applyAlignment="1">
      <alignment horizontal="center" wrapText="1"/>
    </xf>
    <xf numFmtId="0" fontId="21" fillId="36" borderId="14" xfId="0" applyFont="1" applyFill="1" applyBorder="1" applyAlignment="1">
      <alignment horizontal="center" wrapText="1"/>
    </xf>
    <xf numFmtId="0" fontId="28" fillId="36" borderId="14" xfId="0" applyFont="1" applyFill="1" applyBorder="1" applyAlignment="1">
      <alignment horizontal="left"/>
    </xf>
    <xf numFmtId="0" fontId="28" fillId="36" borderId="15" xfId="0" applyFont="1" applyFill="1" applyBorder="1" applyAlignment="1">
      <alignment horizontal="left"/>
    </xf>
    <xf numFmtId="0" fontId="21" fillId="36" borderId="16" xfId="0" applyFont="1" applyFill="1" applyBorder="1" applyAlignment="1">
      <alignment horizontal="center" vertical="center" wrapText="1"/>
    </xf>
    <xf numFmtId="0" fontId="57" fillId="36" borderId="35" xfId="0" applyFont="1" applyFill="1" applyBorder="1" applyAlignment="1">
      <alignment horizontal="right" vertical="center" wrapText="1"/>
    </xf>
    <xf numFmtId="0" fontId="57" fillId="36" borderId="36" xfId="0" applyFont="1" applyFill="1" applyBorder="1" applyAlignment="1">
      <alignment horizontal="right" vertical="center" wrapText="1"/>
    </xf>
    <xf numFmtId="0" fontId="57" fillId="36" borderId="37" xfId="0" applyFont="1" applyFill="1" applyBorder="1" applyAlignment="1">
      <alignment horizontal="right" vertical="center" wrapText="1"/>
    </xf>
    <xf numFmtId="0" fontId="21" fillId="36" borderId="16" xfId="0" applyFont="1" applyFill="1" applyBorder="1" applyAlignment="1">
      <alignment horizontal="left" wrapText="1"/>
    </xf>
    <xf numFmtId="0" fontId="21" fillId="36" borderId="0" xfId="0" applyFont="1" applyFill="1" applyAlignment="1">
      <alignment horizontal="left" wrapText="1"/>
    </xf>
    <xf numFmtId="0" fontId="26" fillId="33" borderId="20" xfId="0" applyFont="1" applyFill="1" applyBorder="1" applyAlignment="1">
      <alignment horizontal="left" vertical="center" indent="3"/>
    </xf>
    <xf numFmtId="0" fontId="26" fillId="33" borderId="21" xfId="0" applyFont="1" applyFill="1" applyBorder="1" applyAlignment="1">
      <alignment horizontal="left" vertical="center" indent="3"/>
    </xf>
    <xf numFmtId="0" fontId="17" fillId="37" borderId="102" xfId="0" applyFont="1" applyFill="1" applyBorder="1" applyAlignment="1">
      <alignment horizontal="center"/>
    </xf>
    <xf numFmtId="43" fontId="60" fillId="37" borderId="137" xfId="43" applyFont="1" applyFill="1" applyBorder="1" applyAlignment="1">
      <alignment horizontal="center" vertical="center" wrapText="1"/>
    </xf>
    <xf numFmtId="43" fontId="60" fillId="37" borderId="128" xfId="43" applyFont="1" applyFill="1" applyBorder="1" applyAlignment="1">
      <alignment horizontal="center" vertical="center" wrapText="1"/>
    </xf>
    <xf numFmtId="9" fontId="60" fillId="37" borderId="137" xfId="42" applyFont="1" applyFill="1" applyBorder="1" applyAlignment="1">
      <alignment horizontal="center" vertical="center" wrapText="1"/>
    </xf>
    <xf numFmtId="9" fontId="60" fillId="37" borderId="128" xfId="42" applyFont="1" applyFill="1" applyBorder="1" applyAlignment="1">
      <alignment horizontal="center" vertical="center" wrapText="1"/>
    </xf>
    <xf numFmtId="0" fontId="38" fillId="37" borderId="128" xfId="0" applyFont="1" applyFill="1" applyBorder="1" applyAlignment="1">
      <alignment horizontal="center"/>
    </xf>
    <xf numFmtId="43" fontId="26" fillId="33" borderId="13" xfId="43" applyFont="1" applyFill="1" applyBorder="1" applyAlignment="1">
      <alignment vertical="center"/>
    </xf>
    <xf numFmtId="43" fontId="26" fillId="33" borderId="15" xfId="43" applyFont="1" applyFill="1" applyBorder="1" applyAlignment="1">
      <alignment vertical="center"/>
    </xf>
    <xf numFmtId="43" fontId="26" fillId="33" borderId="16" xfId="43" applyFont="1" applyFill="1" applyBorder="1" applyAlignment="1">
      <alignment vertical="center"/>
    </xf>
    <xf numFmtId="43" fontId="26" fillId="33" borderId="17" xfId="43" applyFont="1" applyFill="1" applyBorder="1" applyAlignment="1">
      <alignment vertical="center"/>
    </xf>
    <xf numFmtId="43" fontId="26" fillId="33" borderId="20" xfId="43" applyFont="1" applyFill="1" applyBorder="1" applyAlignment="1">
      <alignment vertical="center"/>
    </xf>
    <xf numFmtId="43" fontId="26" fillId="33" borderId="21" xfId="43" applyFont="1" applyFill="1" applyBorder="1" applyAlignment="1">
      <alignment vertical="center"/>
    </xf>
    <xf numFmtId="0" fontId="26" fillId="33" borderId="20" xfId="0" applyFont="1" applyFill="1" applyBorder="1" applyAlignment="1">
      <alignment horizontal="left" vertical="center" wrapText="1" indent="3"/>
    </xf>
    <xf numFmtId="0" fontId="0" fillId="0" borderId="21" xfId="0" applyBorder="1" applyAlignment="1">
      <alignment horizontal="left" vertical="center" wrapText="1" indent="3"/>
    </xf>
    <xf numFmtId="0" fontId="0" fillId="0" borderId="18" xfId="0" applyBorder="1" applyAlignment="1">
      <alignment horizontal="left" vertical="center" wrapText="1" indent="3"/>
    </xf>
    <xf numFmtId="0" fontId="0" fillId="0" borderId="19" xfId="0" applyBorder="1" applyAlignment="1">
      <alignment horizontal="left" vertical="center" wrapText="1" indent="3"/>
    </xf>
    <xf numFmtId="43" fontId="26" fillId="33" borderId="20" xfId="43" applyFont="1" applyFill="1" applyBorder="1" applyAlignment="1">
      <alignment vertical="center" wrapText="1"/>
    </xf>
    <xf numFmtId="43" fontId="26" fillId="33" borderId="21" xfId="43" applyFont="1" applyFill="1" applyBorder="1" applyAlignment="1">
      <alignment vertical="center" wrapText="1"/>
    </xf>
    <xf numFmtId="0" fontId="0" fillId="0" borderId="35" xfId="0" applyBorder="1" applyAlignment="1">
      <alignment vertical="center" wrapText="1"/>
    </xf>
    <xf numFmtId="0" fontId="0" fillId="0" borderId="37" xfId="0" applyBorder="1" applyAlignment="1">
      <alignment vertical="center" wrapText="1"/>
    </xf>
    <xf numFmtId="43" fontId="23" fillId="0" borderId="38" xfId="43" applyFont="1" applyFill="1"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165" fontId="23" fillId="0" borderId="38" xfId="43" applyNumberFormat="1" applyFont="1" applyFill="1" applyBorder="1" applyAlignment="1">
      <alignment horizontal="left" vertical="center"/>
    </xf>
    <xf numFmtId="43" fontId="26" fillId="33" borderId="20" xfId="43" applyFont="1" applyFill="1" applyBorder="1" applyAlignment="1">
      <alignment vertical="top" wrapText="1"/>
    </xf>
    <xf numFmtId="43" fontId="26" fillId="33" borderId="21" xfId="43" applyFont="1" applyFill="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26" fillId="33" borderId="16" xfId="0" applyFont="1" applyFill="1" applyBorder="1" applyAlignment="1">
      <alignment horizontal="left" vertical="center" indent="3"/>
    </xf>
    <xf numFmtId="0" fontId="26" fillId="33" borderId="17" xfId="0" applyFont="1" applyFill="1" applyBorder="1" applyAlignment="1">
      <alignment horizontal="left" vertical="center" indent="3"/>
    </xf>
    <xf numFmtId="0" fontId="35" fillId="36" borderId="0" xfId="0" applyFont="1" applyFill="1" applyAlignment="1">
      <alignment horizontal="left"/>
    </xf>
    <xf numFmtId="0" fontId="38" fillId="37" borderId="40" xfId="0" applyFont="1" applyFill="1" applyBorder="1" applyAlignment="1">
      <alignment horizontal="center" wrapText="1"/>
    </xf>
    <xf numFmtId="165" fontId="60" fillId="37" borderId="137" xfId="43" applyNumberFormat="1" applyFont="1" applyFill="1" applyBorder="1" applyAlignment="1">
      <alignment horizontal="center" vertical="center" wrapText="1"/>
    </xf>
    <xf numFmtId="165" fontId="60" fillId="37" borderId="128" xfId="43" applyNumberFormat="1" applyFont="1" applyFill="1" applyBorder="1" applyAlignment="1">
      <alignment horizontal="center" vertical="center" wrapText="1"/>
    </xf>
    <xf numFmtId="43" fontId="26" fillId="33" borderId="20" xfId="0" applyNumberFormat="1" applyFont="1" applyFill="1" applyBorder="1" applyAlignment="1">
      <alignment horizontal="left" vertical="center" indent="3"/>
    </xf>
    <xf numFmtId="0" fontId="0" fillId="0" borderId="21" xfId="0" applyBorder="1" applyAlignment="1">
      <alignment vertical="center" wrapText="1"/>
    </xf>
    <xf numFmtId="43" fontId="26" fillId="33" borderId="49" xfId="43" applyFont="1" applyFill="1" applyBorder="1" applyAlignment="1">
      <alignment vertical="center"/>
    </xf>
    <xf numFmtId="43" fontId="26" fillId="33" borderId="50" xfId="43" applyFont="1" applyFill="1" applyBorder="1" applyAlignment="1">
      <alignment vertical="center"/>
    </xf>
    <xf numFmtId="0" fontId="0" fillId="36" borderId="14" xfId="0" applyFill="1" applyBorder="1" applyAlignment="1">
      <alignment horizontal="center"/>
    </xf>
    <xf numFmtId="0" fontId="0" fillId="36" borderId="0" xfId="0" applyFill="1" applyAlignment="1">
      <alignment horizontal="right"/>
    </xf>
    <xf numFmtId="0" fontId="22" fillId="36" borderId="0" xfId="0" applyFont="1" applyFill="1" applyAlignment="1">
      <alignment horizontal="left" wrapText="1"/>
    </xf>
    <xf numFmtId="0" fontId="0" fillId="36" borderId="0" xfId="0" applyFill="1" applyAlignment="1">
      <alignment horizontal="right" vertical="top"/>
    </xf>
    <xf numFmtId="0" fontId="21" fillId="36" borderId="0" xfId="0" applyFont="1" applyFill="1" applyAlignment="1">
      <alignment horizontal="left" vertical="center" wrapText="1"/>
    </xf>
    <xf numFmtId="0" fontId="0" fillId="36" borderId="0" xfId="0" applyFill="1" applyAlignment="1">
      <alignment horizontal="left" vertical="center" wrapText="1"/>
    </xf>
    <xf numFmtId="0" fontId="17" fillId="37" borderId="138" xfId="0" applyFont="1" applyFill="1" applyBorder="1" applyAlignment="1">
      <alignment horizontal="center" vertical="center"/>
    </xf>
    <xf numFmtId="0" fontId="17" fillId="37" borderId="129" xfId="0" applyFont="1" applyFill="1" applyBorder="1" applyAlignment="1">
      <alignment horizontal="center" vertical="center"/>
    </xf>
    <xf numFmtId="0" fontId="0" fillId="36" borderId="0" xfId="0" applyFill="1" applyAlignment="1">
      <alignment horizontal="center"/>
    </xf>
    <xf numFmtId="0" fontId="0" fillId="40" borderId="32" xfId="0" applyFill="1" applyBorder="1" applyAlignment="1">
      <alignment horizontal="center" vertical="center"/>
    </xf>
    <xf numFmtId="0" fontId="0" fillId="40" borderId="34" xfId="0" applyFill="1" applyBorder="1" applyAlignment="1">
      <alignment horizontal="center" vertical="center"/>
    </xf>
    <xf numFmtId="0" fontId="35" fillId="40" borderId="40" xfId="0" applyFont="1" applyFill="1" applyBorder="1" applyAlignment="1">
      <alignment horizontal="center" vertical="center"/>
    </xf>
    <xf numFmtId="0" fontId="32" fillId="36" borderId="0" xfId="0" applyFont="1" applyFill="1" applyAlignment="1">
      <alignment horizontal="left" vertical="center" wrapText="1"/>
    </xf>
    <xf numFmtId="0" fontId="41" fillId="37" borderId="16" xfId="0" applyFont="1" applyFill="1" applyBorder="1" applyAlignment="1">
      <alignment horizontal="center" vertical="center" wrapText="1"/>
    </xf>
    <xf numFmtId="0" fontId="41" fillId="37" borderId="0" xfId="0" applyFont="1" applyFill="1" applyAlignment="1">
      <alignment horizontal="center" vertical="center" wrapText="1"/>
    </xf>
    <xf numFmtId="0" fontId="41" fillId="37" borderId="17" xfId="0" applyFont="1" applyFill="1" applyBorder="1" applyAlignment="1">
      <alignment horizontal="center" vertical="center" wrapText="1"/>
    </xf>
    <xf numFmtId="0" fontId="32" fillId="0" borderId="16" xfId="0" applyFont="1" applyBorder="1" applyAlignment="1">
      <alignment horizontal="center" wrapText="1"/>
    </xf>
    <xf numFmtId="0" fontId="32" fillId="0" borderId="0" xfId="0" applyFont="1" applyAlignment="1">
      <alignment horizontal="center" wrapText="1"/>
    </xf>
    <xf numFmtId="0" fontId="32" fillId="0" borderId="17" xfId="0" applyFont="1" applyBorder="1" applyAlignment="1">
      <alignment horizontal="center" wrapText="1"/>
    </xf>
    <xf numFmtId="0" fontId="32" fillId="0" borderId="35" xfId="0" applyFont="1" applyBorder="1" applyAlignment="1">
      <alignment horizontal="center" wrapText="1"/>
    </xf>
    <xf numFmtId="0" fontId="32" fillId="0" borderId="36" xfId="0" applyFont="1" applyBorder="1" applyAlignment="1">
      <alignment horizontal="center" wrapText="1"/>
    </xf>
    <xf numFmtId="0" fontId="32" fillId="0" borderId="37" xfId="0" applyFont="1" applyBorder="1" applyAlignment="1">
      <alignment horizontal="center" wrapText="1"/>
    </xf>
    <xf numFmtId="0" fontId="27" fillId="36" borderId="16" xfId="0" applyFont="1" applyFill="1" applyBorder="1" applyAlignment="1">
      <alignment horizontal="left"/>
    </xf>
    <xf numFmtId="0" fontId="27" fillId="36" borderId="0" xfId="0" applyFont="1" applyFill="1" applyAlignment="1">
      <alignment horizontal="left"/>
    </xf>
    <xf numFmtId="0" fontId="0" fillId="36" borderId="17" xfId="0" applyFill="1" applyBorder="1"/>
    <xf numFmtId="0" fontId="26" fillId="0" borderId="38" xfId="0" applyFont="1" applyBorder="1" applyAlignment="1">
      <alignment horizontal="left" vertical="center"/>
    </xf>
    <xf numFmtId="0" fontId="26" fillId="0" borderId="39" xfId="0" applyFont="1" applyBorder="1" applyAlignment="1">
      <alignment horizontal="left" vertical="center"/>
    </xf>
    <xf numFmtId="0" fontId="26" fillId="0" borderId="41" xfId="0" applyFont="1" applyBorder="1" applyAlignment="1">
      <alignment horizontal="left" vertical="center"/>
    </xf>
    <xf numFmtId="0" fontId="32" fillId="40" borderId="40" xfId="0" applyFont="1" applyFill="1" applyBorder="1" applyAlignment="1">
      <alignment horizontal="left" wrapText="1"/>
    </xf>
    <xf numFmtId="0" fontId="32" fillId="40" borderId="40" xfId="0" applyFont="1" applyFill="1" applyBorder="1" applyAlignment="1">
      <alignment horizontal="center" wrapText="1"/>
    </xf>
    <xf numFmtId="0" fontId="32" fillId="0" borderId="40" xfId="0" applyFont="1" applyBorder="1" applyAlignment="1">
      <alignment horizontal="left" wrapText="1"/>
    </xf>
    <xf numFmtId="164" fontId="23" fillId="0" borderId="40" xfId="0" applyNumberFormat="1" applyFont="1" applyBorder="1" applyAlignment="1">
      <alignment horizontal="center" wrapText="1"/>
    </xf>
    <xf numFmtId="0" fontId="26" fillId="40" borderId="32" xfId="0" applyFont="1" applyFill="1" applyBorder="1" applyAlignment="1">
      <alignment horizontal="center" vertical="center"/>
    </xf>
    <xf numFmtId="0" fontId="26" fillId="40" borderId="34" xfId="0" applyFont="1" applyFill="1" applyBorder="1" applyAlignment="1">
      <alignment horizontal="center" vertical="center"/>
    </xf>
    <xf numFmtId="0" fontId="0" fillId="0" borderId="38" xfId="0" applyBorder="1" applyAlignment="1">
      <alignment horizontal="center"/>
    </xf>
    <xf numFmtId="0" fontId="0" fillId="0" borderId="39" xfId="0" applyBorder="1" applyAlignment="1">
      <alignment horizontal="center"/>
    </xf>
    <xf numFmtId="0" fontId="0" fillId="0" borderId="41" xfId="0" applyBorder="1" applyAlignment="1">
      <alignment horizontal="center"/>
    </xf>
    <xf numFmtId="0" fontId="18" fillId="36" borderId="69" xfId="0" applyFont="1" applyFill="1" applyBorder="1" applyAlignment="1">
      <alignment horizontal="right" vertical="top" wrapText="1"/>
    </xf>
    <xf numFmtId="0" fontId="18" fillId="36" borderId="70" xfId="0" applyFont="1" applyFill="1" applyBorder="1" applyAlignment="1">
      <alignment horizontal="right" vertical="top" wrapText="1"/>
    </xf>
    <xf numFmtId="0" fontId="18" fillId="36" borderId="71" xfId="0" applyFont="1" applyFill="1" applyBorder="1" applyAlignment="1">
      <alignment horizontal="right" vertical="top" wrapText="1"/>
    </xf>
    <xf numFmtId="0" fontId="18" fillId="36" borderId="73" xfId="0" applyFont="1" applyFill="1" applyBorder="1" applyAlignment="1">
      <alignment horizontal="right" vertical="top" wrapText="1"/>
    </xf>
    <xf numFmtId="0" fontId="18" fillId="36" borderId="74" xfId="0" applyFont="1" applyFill="1" applyBorder="1" applyAlignment="1">
      <alignment horizontal="right" vertical="top" wrapText="1"/>
    </xf>
    <xf numFmtId="0" fontId="18" fillId="36" borderId="75" xfId="0" applyFont="1" applyFill="1" applyBorder="1" applyAlignment="1">
      <alignment horizontal="right" vertical="top" wrapText="1"/>
    </xf>
    <xf numFmtId="0" fontId="34" fillId="36" borderId="59" xfId="0" applyFont="1" applyFill="1" applyBorder="1" applyAlignment="1">
      <alignment horizontal="center" vertical="top" wrapText="1"/>
    </xf>
    <xf numFmtId="0" fontId="34" fillId="36" borderId="14" xfId="0" applyFont="1" applyFill="1" applyBorder="1" applyAlignment="1">
      <alignment horizontal="center" vertical="top" wrapText="1"/>
    </xf>
    <xf numFmtId="0" fontId="34" fillId="36" borderId="80" xfId="0" applyFont="1" applyFill="1" applyBorder="1" applyAlignment="1">
      <alignment horizontal="center" vertical="top" wrapText="1"/>
    </xf>
    <xf numFmtId="0" fontId="34" fillId="36" borderId="81" xfId="0" applyFont="1" applyFill="1" applyBorder="1" applyAlignment="1">
      <alignment horizontal="center" vertical="top" wrapText="1"/>
    </xf>
    <xf numFmtId="0" fontId="34" fillId="36" borderId="82" xfId="0" applyFont="1" applyFill="1" applyBorder="1" applyAlignment="1">
      <alignment horizontal="center" vertical="top" wrapText="1"/>
    </xf>
    <xf numFmtId="0" fontId="34" fillId="36" borderId="65" xfId="0" applyFont="1" applyFill="1" applyBorder="1" applyAlignment="1">
      <alignment horizontal="center" vertical="top" wrapText="1"/>
    </xf>
    <xf numFmtId="0" fontId="18" fillId="36" borderId="10" xfId="0" applyFont="1" applyFill="1" applyBorder="1" applyAlignment="1">
      <alignment horizontal="right" vertical="top" wrapText="1"/>
    </xf>
    <xf numFmtId="0" fontId="18" fillId="36" borderId="0" xfId="0" applyFont="1" applyFill="1" applyAlignment="1">
      <alignment horizontal="right" vertical="top" wrapText="1"/>
    </xf>
    <xf numFmtId="0" fontId="18" fillId="36" borderId="72" xfId="0" applyFont="1" applyFill="1" applyBorder="1" applyAlignment="1">
      <alignment horizontal="right" vertical="top" wrapText="1"/>
    </xf>
    <xf numFmtId="0" fontId="58" fillId="37" borderId="124" xfId="0" applyFont="1" applyFill="1" applyBorder="1" applyAlignment="1">
      <alignment horizontal="center" vertical="center" wrapText="1"/>
    </xf>
    <xf numFmtId="0" fontId="58" fillId="37" borderId="125" xfId="0" applyFont="1" applyFill="1" applyBorder="1" applyAlignment="1">
      <alignment horizontal="center" vertical="center" wrapText="1"/>
    </xf>
    <xf numFmtId="0" fontId="58" fillId="37" borderId="126" xfId="0" applyFont="1" applyFill="1" applyBorder="1" applyAlignment="1">
      <alignment horizontal="center" vertical="center" wrapText="1"/>
    </xf>
    <xf numFmtId="0" fontId="18" fillId="0" borderId="69" xfId="0" applyFont="1" applyBorder="1" applyAlignment="1">
      <alignment horizontal="right" vertical="top" wrapText="1"/>
    </xf>
    <xf numFmtId="0" fontId="18" fillId="0" borderId="70" xfId="0" applyFont="1" applyBorder="1" applyAlignment="1">
      <alignment horizontal="right" vertical="top" wrapText="1"/>
    </xf>
    <xf numFmtId="0" fontId="18" fillId="0" borderId="71" xfId="0" applyFont="1" applyBorder="1" applyAlignment="1">
      <alignment horizontal="right" vertical="top" wrapText="1"/>
    </xf>
    <xf numFmtId="0" fontId="18" fillId="36" borderId="58" xfId="0" applyFont="1" applyFill="1" applyBorder="1" applyAlignment="1">
      <alignment horizontal="right" vertical="top" wrapText="1"/>
    </xf>
    <xf numFmtId="0" fontId="18" fillId="36" borderId="55" xfId="0" applyFont="1" applyFill="1" applyBorder="1" applyAlignment="1">
      <alignment horizontal="right" vertical="top" wrapText="1"/>
    </xf>
    <xf numFmtId="0" fontId="18" fillId="36" borderId="56" xfId="0" applyFont="1" applyFill="1" applyBorder="1" applyAlignment="1">
      <alignment horizontal="right" vertical="top" wrapText="1"/>
    </xf>
    <xf numFmtId="0" fontId="18" fillId="0" borderId="60" xfId="0" applyFont="1" applyBorder="1" applyAlignment="1">
      <alignment horizontal="right" vertical="top" wrapText="1"/>
    </xf>
    <xf numFmtId="0" fontId="18" fillId="0" borderId="54" xfId="0" applyFont="1" applyBorder="1" applyAlignment="1">
      <alignment horizontal="right" vertical="top" wrapText="1"/>
    </xf>
    <xf numFmtId="0" fontId="18" fillId="0" borderId="53" xfId="0" applyFont="1" applyBorder="1" applyAlignment="1">
      <alignment horizontal="right" vertical="top" wrapText="1"/>
    </xf>
    <xf numFmtId="0" fontId="18" fillId="0" borderId="73" xfId="0" applyFont="1" applyBorder="1" applyAlignment="1">
      <alignment horizontal="right" vertical="top" wrapText="1"/>
    </xf>
    <xf numFmtId="0" fontId="18" fillId="0" borderId="74" xfId="0" applyFont="1" applyBorder="1" applyAlignment="1">
      <alignment horizontal="right" vertical="top" wrapText="1"/>
    </xf>
    <xf numFmtId="0" fontId="18" fillId="0" borderId="75" xfId="0" applyFont="1" applyBorder="1" applyAlignment="1">
      <alignment horizontal="right" vertical="top" wrapText="1"/>
    </xf>
    <xf numFmtId="0" fontId="18" fillId="36" borderId="77" xfId="0" applyFont="1" applyFill="1" applyBorder="1" applyAlignment="1">
      <alignment horizontal="right" vertical="top" wrapText="1"/>
    </xf>
    <xf numFmtId="0" fontId="18" fillId="36" borderId="78" xfId="0" applyFont="1" applyFill="1" applyBorder="1" applyAlignment="1">
      <alignment horizontal="right" vertical="top" wrapText="1"/>
    </xf>
    <xf numFmtId="0" fontId="18" fillId="36" borderId="79" xfId="0" applyFont="1" applyFill="1" applyBorder="1" applyAlignment="1">
      <alignment horizontal="right" vertical="top" wrapText="1"/>
    </xf>
    <xf numFmtId="0" fontId="21" fillId="36" borderId="127" xfId="0" applyFont="1" applyFill="1" applyBorder="1" applyAlignment="1">
      <alignment horizontal="center" vertical="center" wrapText="1"/>
    </xf>
    <xf numFmtId="0" fontId="18" fillId="36" borderId="59" xfId="0" applyFont="1" applyFill="1" applyBorder="1" applyAlignment="1">
      <alignment horizontal="center" vertical="top" wrapText="1"/>
    </xf>
    <xf numFmtId="0" fontId="18" fillId="36" borderId="14" xfId="0" applyFont="1" applyFill="1" applyBorder="1" applyAlignment="1">
      <alignment horizontal="center" vertical="top" wrapText="1"/>
    </xf>
    <xf numFmtId="10" fontId="0" fillId="36" borderId="0" xfId="0" applyNumberFormat="1" applyFill="1" applyAlignment="1">
      <alignment horizontal="center" vertical="center" wrapText="1"/>
    </xf>
    <xf numFmtId="0" fontId="18" fillId="36" borderId="85" xfId="0" applyFont="1" applyFill="1" applyBorder="1" applyAlignment="1">
      <alignment horizontal="center" vertical="top" wrapText="1"/>
    </xf>
    <xf numFmtId="0" fontId="18" fillId="36" borderId="36" xfId="0" applyFont="1" applyFill="1" applyBorder="1" applyAlignment="1">
      <alignment horizontal="center" vertical="top" wrapText="1"/>
    </xf>
    <xf numFmtId="0" fontId="18" fillId="36" borderId="10" xfId="0" applyFont="1" applyFill="1" applyBorder="1" applyAlignment="1">
      <alignment horizontal="center" vertical="top" wrapText="1"/>
    </xf>
    <xf numFmtId="0" fontId="18" fillId="36" borderId="0" xfId="0" applyFont="1" applyFill="1" applyAlignment="1">
      <alignment horizontal="center" vertical="top" wrapText="1"/>
    </xf>
    <xf numFmtId="0" fontId="18" fillId="36" borderId="81" xfId="0" applyFont="1" applyFill="1" applyBorder="1" applyAlignment="1">
      <alignment horizontal="right" vertical="top" wrapText="1"/>
    </xf>
    <xf numFmtId="0" fontId="18" fillId="36" borderId="82" xfId="0" applyFont="1" applyFill="1" applyBorder="1" applyAlignment="1">
      <alignment horizontal="right" vertical="top" wrapText="1"/>
    </xf>
    <xf numFmtId="0" fontId="18" fillId="36" borderId="65" xfId="0" applyFont="1" applyFill="1" applyBorder="1" applyAlignment="1">
      <alignment horizontal="right" vertical="top" wrapText="1"/>
    </xf>
    <xf numFmtId="0" fontId="18" fillId="36" borderId="59" xfId="0" applyFont="1" applyFill="1" applyBorder="1" applyAlignment="1">
      <alignment horizontal="right" vertical="top" wrapText="1"/>
    </xf>
    <xf numFmtId="0" fontId="18" fillId="36" borderId="14" xfId="0" applyFont="1" applyFill="1" applyBorder="1" applyAlignment="1">
      <alignment horizontal="right" vertical="top" wrapText="1"/>
    </xf>
    <xf numFmtId="0" fontId="18" fillId="36" borderId="80" xfId="0" applyFont="1" applyFill="1" applyBorder="1" applyAlignment="1">
      <alignment horizontal="right" vertical="top" wrapText="1"/>
    </xf>
    <xf numFmtId="0" fontId="18" fillId="36" borderId="92" xfId="0" applyFont="1" applyFill="1" applyBorder="1" applyAlignment="1">
      <alignment horizontal="right" vertical="top" wrapText="1"/>
    </xf>
    <xf numFmtId="0" fontId="18" fillId="36" borderId="93" xfId="0" applyFont="1" applyFill="1" applyBorder="1" applyAlignment="1">
      <alignment horizontal="right" vertical="top" wrapText="1"/>
    </xf>
    <xf numFmtId="0" fontId="18" fillId="36" borderId="69" xfId="0" applyFont="1" applyFill="1" applyBorder="1" applyAlignment="1">
      <alignment horizontal="right" vertical="top"/>
    </xf>
    <xf numFmtId="0" fontId="18" fillId="36" borderId="70" xfId="0" applyFont="1" applyFill="1" applyBorder="1" applyAlignment="1">
      <alignment horizontal="right" vertical="top"/>
    </xf>
    <xf numFmtId="0" fontId="18" fillId="36" borderId="71" xfId="0" applyFont="1" applyFill="1" applyBorder="1" applyAlignment="1">
      <alignment horizontal="right" vertical="top"/>
    </xf>
    <xf numFmtId="0" fontId="18" fillId="36" borderId="96" xfId="0" applyFont="1" applyFill="1" applyBorder="1" applyAlignment="1">
      <alignment horizontal="center" vertical="top" wrapText="1"/>
    </xf>
    <xf numFmtId="0" fontId="18" fillId="36" borderId="39" xfId="0" applyFont="1" applyFill="1" applyBorder="1" applyAlignment="1">
      <alignment horizontal="center" vertical="top" wrapText="1"/>
    </xf>
    <xf numFmtId="0" fontId="18" fillId="0" borderId="69" xfId="0" applyFont="1" applyBorder="1" applyAlignment="1">
      <alignment horizontal="right" vertical="top"/>
    </xf>
    <xf numFmtId="0" fontId="18" fillId="0" borderId="70" xfId="0" applyFont="1" applyBorder="1" applyAlignment="1">
      <alignment horizontal="right" vertical="top"/>
    </xf>
    <xf numFmtId="0" fontId="18" fillId="0" borderId="71" xfId="0" applyFont="1" applyBorder="1" applyAlignment="1">
      <alignment horizontal="right" vertical="top"/>
    </xf>
    <xf numFmtId="0" fontId="18" fillId="0" borderId="10" xfId="0" applyFont="1" applyBorder="1" applyAlignment="1">
      <alignment horizontal="right" vertical="top" wrapText="1"/>
    </xf>
    <xf numFmtId="0" fontId="18" fillId="0" borderId="0" xfId="0" applyFont="1" applyAlignment="1">
      <alignment horizontal="right" vertical="top" wrapText="1"/>
    </xf>
    <xf numFmtId="0" fontId="18" fillId="0" borderId="72" xfId="0" applyFont="1" applyBorder="1" applyAlignment="1">
      <alignment horizontal="right" vertical="top" wrapText="1"/>
    </xf>
    <xf numFmtId="0" fontId="18" fillId="0" borderId="96" xfId="0" applyFont="1" applyBorder="1" applyAlignment="1">
      <alignment horizontal="right" vertical="top" wrapText="1"/>
    </xf>
    <xf numFmtId="0" fontId="18" fillId="0" borderId="39" xfId="0" applyFont="1" applyBorder="1" applyAlignment="1">
      <alignment horizontal="right" vertical="top" wrapText="1"/>
    </xf>
    <xf numFmtId="0" fontId="18" fillId="0" borderId="144" xfId="0" applyFont="1" applyBorder="1" applyAlignment="1">
      <alignment horizontal="right" vertical="top" wrapText="1"/>
    </xf>
    <xf numFmtId="0" fontId="18" fillId="0" borderId="81" xfId="0" applyFont="1" applyBorder="1" applyAlignment="1">
      <alignment horizontal="right" vertical="top" wrapText="1"/>
    </xf>
    <xf numFmtId="0" fontId="18" fillId="0" borderId="82" xfId="0" applyFont="1" applyBorder="1" applyAlignment="1">
      <alignment horizontal="right" vertical="top" wrapText="1"/>
    </xf>
    <xf numFmtId="0" fontId="18" fillId="0" borderId="65" xfId="0" applyFont="1" applyBorder="1" applyAlignment="1">
      <alignment horizontal="right" vertical="top" wrapText="1"/>
    </xf>
    <xf numFmtId="0" fontId="18" fillId="36" borderId="99" xfId="0" applyFont="1" applyFill="1" applyBorder="1" applyAlignment="1">
      <alignment horizontal="right" vertical="top" wrapText="1"/>
    </xf>
    <xf numFmtId="0" fontId="18" fillId="36" borderId="141" xfId="0" applyFont="1" applyFill="1" applyBorder="1" applyAlignment="1">
      <alignment horizontal="right" vertical="top" wrapText="1"/>
    </xf>
    <xf numFmtId="0" fontId="50" fillId="36" borderId="142" xfId="0" applyFont="1" applyFill="1" applyBorder="1"/>
    <xf numFmtId="0" fontId="50" fillId="36" borderId="143" xfId="0" applyFont="1" applyFill="1" applyBorder="1"/>
    <xf numFmtId="0" fontId="18" fillId="0" borderId="58" xfId="0" applyFont="1" applyBorder="1" applyAlignment="1">
      <alignment horizontal="right" vertical="top" wrapText="1"/>
    </xf>
    <xf numFmtId="0" fontId="18" fillId="0" borderId="55" xfId="0" applyFont="1" applyBorder="1" applyAlignment="1">
      <alignment horizontal="right" vertical="top" wrapText="1"/>
    </xf>
    <xf numFmtId="0" fontId="18" fillId="0" borderId="56" xfId="0" applyFont="1" applyBorder="1" applyAlignment="1">
      <alignment horizontal="right" vertical="top" wrapText="1"/>
    </xf>
    <xf numFmtId="0" fontId="18" fillId="36" borderId="60" xfId="0" applyFont="1" applyFill="1" applyBorder="1" applyAlignment="1">
      <alignment horizontal="right" vertical="top" wrapText="1"/>
    </xf>
    <xf numFmtId="0" fontId="18" fillId="36" borderId="54" xfId="0" applyFont="1" applyFill="1" applyBorder="1" applyAlignment="1">
      <alignment horizontal="right" vertical="top" wrapText="1"/>
    </xf>
    <xf numFmtId="0" fontId="18" fillId="36" borderId="53" xfId="0" applyFont="1" applyFill="1" applyBorder="1" applyAlignment="1">
      <alignment horizontal="right" vertical="top" wrapText="1"/>
    </xf>
    <xf numFmtId="0" fontId="34" fillId="36" borderId="10" xfId="0" applyFont="1" applyFill="1" applyBorder="1" applyAlignment="1">
      <alignment horizontal="center" vertical="top" wrapText="1"/>
    </xf>
    <xf numFmtId="0" fontId="34" fillId="36" borderId="0" xfId="0" applyFont="1" applyFill="1" applyAlignment="1">
      <alignment horizontal="center" vertical="top" wrapText="1"/>
    </xf>
    <xf numFmtId="0" fontId="34" fillId="36" borderId="72" xfId="0" applyFont="1" applyFill="1" applyBorder="1" applyAlignment="1">
      <alignment horizontal="center" vertical="top" wrapText="1"/>
    </xf>
    <xf numFmtId="0" fontId="57" fillId="36" borderId="16" xfId="46" applyFont="1" applyFill="1" applyBorder="1" applyAlignment="1">
      <alignment horizontal="right" vertical="center" wrapText="1"/>
    </xf>
    <xf numFmtId="0" fontId="57" fillId="36" borderId="0" xfId="46" applyFont="1" applyFill="1" applyAlignment="1">
      <alignment horizontal="right" vertical="center" wrapText="1"/>
    </xf>
    <xf numFmtId="0" fontId="57" fillId="36" borderId="17" xfId="46" applyFont="1" applyFill="1" applyBorder="1" applyAlignment="1">
      <alignment horizontal="right" vertical="center" wrapText="1"/>
    </xf>
    <xf numFmtId="0" fontId="57" fillId="36" borderId="35" xfId="46" applyFont="1" applyFill="1" applyBorder="1" applyAlignment="1">
      <alignment horizontal="right" vertical="center" wrapText="1"/>
    </xf>
    <xf numFmtId="0" fontId="57" fillId="36" borderId="36" xfId="46" applyFont="1" applyFill="1" applyBorder="1" applyAlignment="1">
      <alignment horizontal="right" vertical="center" wrapText="1"/>
    </xf>
    <xf numFmtId="0" fontId="57" fillId="36" borderId="37" xfId="46" applyFont="1" applyFill="1" applyBorder="1" applyAlignment="1">
      <alignment horizontal="right" vertical="center" wrapText="1"/>
    </xf>
    <xf numFmtId="0" fontId="21" fillId="36" borderId="13" xfId="46" applyFont="1" applyFill="1" applyBorder="1" applyAlignment="1">
      <alignment horizontal="center" wrapText="1"/>
    </xf>
    <xf numFmtId="0" fontId="21" fillId="36" borderId="14" xfId="46" applyFont="1" applyFill="1" applyBorder="1" applyAlignment="1">
      <alignment horizontal="center" wrapText="1"/>
    </xf>
    <xf numFmtId="0" fontId="21" fillId="36" borderId="15" xfId="46" applyFont="1" applyFill="1" applyBorder="1" applyAlignment="1">
      <alignment horizontal="center" wrapText="1"/>
    </xf>
    <xf numFmtId="0" fontId="21" fillId="36" borderId="16" xfId="46" applyFont="1" applyFill="1" applyBorder="1" applyAlignment="1">
      <alignment horizontal="center" vertical="center" wrapText="1"/>
    </xf>
    <xf numFmtId="0" fontId="21" fillId="36" borderId="0" xfId="46" applyFont="1" applyFill="1" applyAlignment="1">
      <alignment horizontal="center" vertical="center" wrapText="1"/>
    </xf>
    <xf numFmtId="0" fontId="21" fillId="36" borderId="17" xfId="46" applyFont="1" applyFill="1" applyBorder="1" applyAlignment="1">
      <alignment horizontal="center" vertical="center" wrapText="1"/>
    </xf>
    <xf numFmtId="0" fontId="21" fillId="36" borderId="16" xfId="46" applyFont="1" applyFill="1" applyBorder="1" applyAlignment="1">
      <alignment horizontal="left" wrapText="1"/>
    </xf>
    <xf numFmtId="0" fontId="21" fillId="36" borderId="0" xfId="46" applyFont="1" applyFill="1" applyAlignment="1">
      <alignment horizontal="left" wrapText="1"/>
    </xf>
    <xf numFmtId="0" fontId="21" fillId="36" borderId="17" xfId="46" applyFont="1" applyFill="1" applyBorder="1" applyAlignment="1">
      <alignment horizontal="left" wrapText="1"/>
    </xf>
    <xf numFmtId="0" fontId="56" fillId="36" borderId="0" xfId="46" applyFont="1" applyFill="1" applyAlignment="1">
      <alignment horizontal="center" vertical="center" wrapText="1"/>
    </xf>
    <xf numFmtId="0" fontId="56" fillId="36" borderId="17" xfId="46" applyFont="1" applyFill="1" applyBorder="1" applyAlignment="1">
      <alignment horizontal="center" vertical="center" wrapText="1"/>
    </xf>
    <xf numFmtId="0" fontId="56" fillId="36" borderId="0" xfId="46" applyFont="1" applyFill="1" applyAlignment="1">
      <alignment horizontal="right" vertical="center" wrapText="1"/>
    </xf>
    <xf numFmtId="0" fontId="56" fillId="36" borderId="17" xfId="46" applyFont="1" applyFill="1" applyBorder="1" applyAlignment="1">
      <alignment horizontal="right" vertical="center" wrapText="1"/>
    </xf>
  </cellXfs>
  <cellStyles count="48">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Moeda" xfId="45" builtinId="4"/>
    <cellStyle name="Neutra" xfId="8" builtinId="28" customBuiltin="1"/>
    <cellStyle name="Normal" xfId="0" builtinId="0"/>
    <cellStyle name="Normal 2" xfId="46"/>
    <cellStyle name="Normal_Diversos" xfId="44"/>
    <cellStyle name="Nota" xfId="15" builtinId="10" customBuiltin="1"/>
    <cellStyle name="Porcentagem" xfId="42" builtinId="5"/>
    <cellStyle name="Saída" xfId="10" builtinId="21" customBuiltin="1"/>
    <cellStyle name="Separador de milhares" xfId="43" builtinId="3"/>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írgula 2" xfId="47"/>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Curva</a:t>
            </a:r>
            <a:r>
              <a:rPr lang="pt-BR" baseline="0"/>
              <a:t> ABC</a:t>
            </a:r>
          </a:p>
        </c:rich>
      </c:tx>
      <c:spPr>
        <a:noFill/>
        <a:ln>
          <a:noFill/>
        </a:ln>
        <a:effectLst/>
      </c:spPr>
    </c:title>
    <c:plotArea>
      <c:layout/>
      <c:barChart>
        <c:barDir val="col"/>
        <c:grouping val="clustered"/>
        <c:ser>
          <c:idx val="0"/>
          <c:order val="0"/>
          <c:spPr>
            <a:solidFill>
              <a:schemeClr val="accent1"/>
            </a:solidFill>
            <a:ln>
              <a:noFill/>
            </a:ln>
            <a:effectLst/>
          </c:spPr>
          <c:cat>
            <c:multiLvlStrRef>
              <c:f>'[5]Curva ABC'!$J$16:$N$52</c:f>
              <c:multiLvlStrCache>
                <c:ptCount val="5"/>
                <c:lvl>
                  <c:pt idx="0">
                    <c:v>Serviços Técnicos Profissionais</c:v>
                  </c:pt>
                </c:lvl>
                <c:lvl>
                  <c:pt idx="0">
                    <c:v>Sistema Viário</c:v>
                  </c:pt>
                </c:lvl>
                <c:lvl>
                  <c:pt idx="0">
                    <c:v>Comunicação Visual</c:v>
                  </c:pt>
                </c:lvl>
                <c:lvl>
                  <c:pt idx="0">
                    <c:v>Água Fria</c:v>
                  </c:pt>
                </c:lvl>
                <c:lvl>
                  <c:pt idx="0">
                    <c:v>Gás Combustível</c:v>
                  </c:pt>
                </c:lvl>
                <c:lvl>
                  <c:pt idx="0">
                    <c:v>Mantas Termo-acústicas</c:v>
                  </c:pt>
                </c:lvl>
                <c:lvl>
                  <c:pt idx="0">
                    <c:v>Aterramento e Proteção contra Descargas Atmosféricas</c:v>
                  </c:pt>
                </c:lvl>
                <c:lvl>
                  <c:pt idx="0">
                    <c:v>Telefonia e Antena de TV</c:v>
                  </c:pt>
                </c:lvl>
                <c:lvl>
                  <c:pt idx="0">
                    <c:v>Ar Condicionado</c:v>
                  </c:pt>
                </c:lvl>
                <c:lvl>
                  <c:pt idx="0">
                    <c:v>Equipamentos e Acessórios</c:v>
                  </c:pt>
                </c:lvl>
                <c:lvl>
                  <c:pt idx="0">
                    <c:v>Serviços Complementares</c:v>
                  </c:pt>
                </c:lvl>
                <c:lvl>
                  <c:pt idx="0">
                    <c:v>Aparelhos e Acessórios Sanitários</c:v>
                  </c:pt>
                </c:lvl>
                <c:lvl>
                  <c:pt idx="0">
                    <c:v>Esgotos Sanitários</c:v>
                  </c:pt>
                </c:lvl>
                <c:lvl>
                  <c:pt idx="0">
                    <c:v>Detecção e Alarme de Incêndio</c:v>
                  </c:pt>
                </c:lvl>
                <c:lvl>
                  <c:pt idx="0">
                    <c:v>Acabamentos e Arremates</c:v>
                  </c:pt>
                </c:lvl>
                <c:lvl>
                  <c:pt idx="0">
                    <c:v>Paisagismo</c:v>
                  </c:pt>
                </c:lvl>
                <c:lvl>
                  <c:pt idx="0">
                    <c:v>Cobertura e Fechamento Lateral</c:v>
                  </c:pt>
                </c:lvl>
                <c:lvl>
                  <c:pt idx="0">
                    <c:v>Revestimentos de Forro</c:v>
                  </c:pt>
                </c:lvl>
                <c:lvl>
                  <c:pt idx="0">
                    <c:v>Portas e Janelas de Vidro</c:v>
                  </c:pt>
                </c:lvl>
                <c:lvl>
                  <c:pt idx="0">
                    <c:v>Iluminação e Tomadas</c:v>
                  </c:pt>
                </c:lvl>
                <c:lvl>
                  <c:pt idx="0">
                    <c:v>Vidros e Plásticos</c:v>
                  </c:pt>
                </c:lvl>
                <c:lvl>
                  <c:pt idx="0">
                    <c:v>Pavimentação</c:v>
                  </c:pt>
                </c:lvl>
                <c:lvl>
                  <c:pt idx="0">
                    <c:v>Pinturas</c:v>
                  </c:pt>
                </c:lvl>
                <c:lvl>
                  <c:pt idx="0">
                    <c:v>Drenagem de Águas Pluviais</c:v>
                  </c:pt>
                </c:lvl>
                <c:lvl>
                  <c:pt idx="0">
                    <c:v>Revestimentos de Parede</c:v>
                  </c:pt>
                </c:lvl>
                <c:lvl>
                  <c:pt idx="0">
                    <c:v>Instalações de Prevenção e Combate a Incêndio</c:v>
                  </c:pt>
                </c:lvl>
                <c:lvl>
                  <c:pt idx="0">
                    <c:v>Instalações Elétricas</c:v>
                  </c:pt>
                </c:lvl>
                <c:lvl>
                  <c:pt idx="0">
                    <c:v>Serviços Preliminares</c:v>
                  </c:pt>
                </c:lvl>
                <c:lvl>
                  <c:pt idx="0">
                    <c:v>Paredes</c:v>
                  </c:pt>
                </c:lvl>
                <c:lvl>
                  <c:pt idx="0">
                    <c:v>Fundações Profundas</c:v>
                  </c:pt>
                </c:lvl>
                <c:lvl>
                  <c:pt idx="0">
                    <c:v>Serviços Auxiliares e Administrativos</c:v>
                  </c:pt>
                </c:lvl>
                <c:lvl>
                  <c:pt idx="0">
                    <c:v>Blocos e Cintas de Fundação</c:v>
                  </c:pt>
                </c:lvl>
                <c:lvl>
                  <c:pt idx="0">
                    <c:v>Revestimentos de Pisos</c:v>
                  </c:pt>
                </c:lvl>
                <c:lvl>
                  <c:pt idx="0">
                    <c:v>Esquadrias</c:v>
                  </c:pt>
                </c:lvl>
                <c:lvl>
                  <c:pt idx="0">
                    <c:v>Impermeabilizações</c:v>
                  </c:pt>
                </c:lvl>
                <c:lvl>
                  <c:pt idx="0">
                    <c:v>Estruturas de Concreto</c:v>
                  </c:pt>
                </c:lvl>
                <c:lvl>
                  <c:pt idx="0">
                    <c:v>Estruturas Metálicas</c:v>
                  </c:pt>
                </c:lvl>
              </c:multiLvlStrCache>
            </c:multiLvlStrRef>
          </c:cat>
          <c:val>
            <c:numRef>
              <c:f>'[5]Curva ABC'!$G$16:$G$52</c:f>
              <c:numCache>
                <c:formatCode>General</c:formatCode>
                <c:ptCount val="37"/>
                <c:pt idx="0">
                  <c:v>0.2168985879635022</c:v>
                </c:pt>
                <c:pt idx="1">
                  <c:v>0.12702675180815495</c:v>
                </c:pt>
                <c:pt idx="2">
                  <c:v>8.4216159519952441E-2</c:v>
                </c:pt>
                <c:pt idx="3">
                  <c:v>7.0324193551665123E-2</c:v>
                </c:pt>
                <c:pt idx="4">
                  <c:v>5.5928431543592103E-2</c:v>
                </c:pt>
                <c:pt idx="5">
                  <c:v>4.5097070378820402E-2</c:v>
                </c:pt>
                <c:pt idx="6">
                  <c:v>4.3768225003952575E-2</c:v>
                </c:pt>
                <c:pt idx="7">
                  <c:v>4.2374858250686348E-2</c:v>
                </c:pt>
                <c:pt idx="8">
                  <c:v>3.7912080522034208E-2</c:v>
                </c:pt>
                <c:pt idx="9">
                  <c:v>3.4872470609638231E-2</c:v>
                </c:pt>
                <c:pt idx="10">
                  <c:v>2.9994202940139582E-2</c:v>
                </c:pt>
                <c:pt idx="11">
                  <c:v>2.3776828255193439E-2</c:v>
                </c:pt>
                <c:pt idx="12">
                  <c:v>2.2416137953595358E-2</c:v>
                </c:pt>
                <c:pt idx="13">
                  <c:v>2.2120261535836371E-2</c:v>
                </c:pt>
                <c:pt idx="14">
                  <c:v>2.1512346406192054E-2</c:v>
                </c:pt>
                <c:pt idx="15">
                  <c:v>1.7162801446829822E-2</c:v>
                </c:pt>
                <c:pt idx="16">
                  <c:v>1.5957791636701583E-2</c:v>
                </c:pt>
                <c:pt idx="17">
                  <c:v>1.1438611795211523E-2</c:v>
                </c:pt>
                <c:pt idx="18">
                  <c:v>9.8375731868433521E-3</c:v>
                </c:pt>
                <c:pt idx="19">
                  <c:v>8.7296565503932194E-3</c:v>
                </c:pt>
                <c:pt idx="20">
                  <c:v>8.4987832014483938E-3</c:v>
                </c:pt>
                <c:pt idx="21">
                  <c:v>6.763775842941985E-3</c:v>
                </c:pt>
                <c:pt idx="22">
                  <c:v>6.2179441380200186E-3</c:v>
                </c:pt>
                <c:pt idx="23">
                  <c:v>6.2055132375306325E-3</c:v>
                </c:pt>
                <c:pt idx="24">
                  <c:v>6.1251409917676535E-3</c:v>
                </c:pt>
                <c:pt idx="25">
                  <c:v>5.464740424052884E-3</c:v>
                </c:pt>
                <c:pt idx="26">
                  <c:v>3.9761721006606405E-3</c:v>
                </c:pt>
                <c:pt idx="27">
                  <c:v>3.6270554648211075E-3</c:v>
                </c:pt>
                <c:pt idx="28">
                  <c:v>2.4689434114381226E-3</c:v>
                </c:pt>
                <c:pt idx="29">
                  <c:v>2.2030394155974362E-3</c:v>
                </c:pt>
                <c:pt idx="30">
                  <c:v>2.1050781948563201E-3</c:v>
                </c:pt>
                <c:pt idx="31">
                  <c:v>1.4448881663486155E-3</c:v>
                </c:pt>
                <c:pt idx="32">
                  <c:v>1.4383242354813973E-3</c:v>
                </c:pt>
                <c:pt idx="33">
                  <c:v>1.3479520282417745E-3</c:v>
                </c:pt>
                <c:pt idx="34">
                  <c:v>3.0062964863330517E-4</c:v>
                </c:pt>
                <c:pt idx="35">
                  <c:v>2.247207367692684E-4</c:v>
                </c:pt>
                <c:pt idx="36">
                  <c:v>2.2225790245526282E-4</c:v>
                </c:pt>
              </c:numCache>
            </c:numRef>
          </c:val>
          <c:extLst xmlns:c16r2="http://schemas.microsoft.com/office/drawing/2015/06/chart">
            <c:ext xmlns:c16="http://schemas.microsoft.com/office/drawing/2014/chart" uri="{C3380CC4-5D6E-409C-BE32-E72D297353CC}">
              <c16:uniqueId val="{00000000-B021-4D3C-8E9A-E2D0C55FCEB0}"/>
            </c:ext>
          </c:extLst>
        </c:ser>
        <c:dLbls/>
        <c:gapWidth val="219"/>
        <c:overlap val="-27"/>
        <c:axId val="85349888"/>
        <c:axId val="85351424"/>
      </c:barChart>
      <c:lineChart>
        <c:grouping val="standard"/>
        <c:ser>
          <c:idx val="1"/>
          <c:order val="1"/>
          <c:spPr>
            <a:ln w="28575" cap="rnd">
              <a:solidFill>
                <a:schemeClr val="accent2"/>
              </a:solidFill>
              <a:round/>
            </a:ln>
            <a:effectLst/>
          </c:spPr>
          <c:marker>
            <c:symbol val="none"/>
          </c:marker>
          <c:val>
            <c:numRef>
              <c:f>'[5]Curva ABC'!$H$16:$H$52</c:f>
              <c:numCache>
                <c:formatCode>General</c:formatCode>
                <c:ptCount val="37"/>
                <c:pt idx="0">
                  <c:v>0.2168985879635022</c:v>
                </c:pt>
                <c:pt idx="1">
                  <c:v>0.34392533977165718</c:v>
                </c:pt>
                <c:pt idx="2">
                  <c:v>0.42814149929160961</c:v>
                </c:pt>
                <c:pt idx="3">
                  <c:v>0.49846569284327474</c:v>
                </c:pt>
                <c:pt idx="4">
                  <c:v>0.55439412438686686</c:v>
                </c:pt>
                <c:pt idx="5">
                  <c:v>0.59949119476568724</c:v>
                </c:pt>
                <c:pt idx="6">
                  <c:v>0.64325941976963985</c:v>
                </c:pt>
                <c:pt idx="7">
                  <c:v>0.68563427802032617</c:v>
                </c:pt>
                <c:pt idx="8">
                  <c:v>0.72354635854236038</c:v>
                </c:pt>
                <c:pt idx="9">
                  <c:v>0.75841882915199865</c:v>
                </c:pt>
                <c:pt idx="10">
                  <c:v>0.7884130320921382</c:v>
                </c:pt>
                <c:pt idx="11">
                  <c:v>0.81218986034733165</c:v>
                </c:pt>
                <c:pt idx="12">
                  <c:v>0.83460599830092697</c:v>
                </c:pt>
                <c:pt idx="13">
                  <c:v>0.85672625983676332</c:v>
                </c:pt>
                <c:pt idx="14">
                  <c:v>0.87823860624295536</c:v>
                </c:pt>
                <c:pt idx="15">
                  <c:v>0.89540140768978516</c:v>
                </c:pt>
                <c:pt idx="16">
                  <c:v>0.91135919932648679</c:v>
                </c:pt>
                <c:pt idx="17">
                  <c:v>0.92279781112169834</c:v>
                </c:pt>
                <c:pt idx="18">
                  <c:v>0.93263538430854165</c:v>
                </c:pt>
                <c:pt idx="19">
                  <c:v>0.94136504085893491</c:v>
                </c:pt>
                <c:pt idx="20">
                  <c:v>0.94986382406038328</c:v>
                </c:pt>
                <c:pt idx="21">
                  <c:v>0.95662759990332524</c:v>
                </c:pt>
                <c:pt idx="22">
                  <c:v>0.96284554404134526</c:v>
                </c:pt>
                <c:pt idx="23">
                  <c:v>0.96905105727887586</c:v>
                </c:pt>
                <c:pt idx="24">
                  <c:v>0.9751761982706435</c:v>
                </c:pt>
                <c:pt idx="25">
                  <c:v>0.98064093869469637</c:v>
                </c:pt>
                <c:pt idx="26">
                  <c:v>0.98461711079535696</c:v>
                </c:pt>
                <c:pt idx="27">
                  <c:v>0.98824416626017808</c:v>
                </c:pt>
                <c:pt idx="28">
                  <c:v>0.99071310967161619</c:v>
                </c:pt>
                <c:pt idx="29">
                  <c:v>0.9929161490872136</c:v>
                </c:pt>
                <c:pt idx="30">
                  <c:v>0.99502122728206988</c:v>
                </c:pt>
                <c:pt idx="31">
                  <c:v>0.99646611544841845</c:v>
                </c:pt>
                <c:pt idx="32">
                  <c:v>0.99790443968389986</c:v>
                </c:pt>
                <c:pt idx="33">
                  <c:v>0.99925239171214164</c:v>
                </c:pt>
                <c:pt idx="34">
                  <c:v>0.99955302136077495</c:v>
                </c:pt>
                <c:pt idx="35">
                  <c:v>0.99977774209754422</c:v>
                </c:pt>
                <c:pt idx="36">
                  <c:v>0.99999999999999944</c:v>
                </c:pt>
              </c:numCache>
            </c:numRef>
          </c:val>
          <c:extLst xmlns:c16r2="http://schemas.microsoft.com/office/drawing/2015/06/chart">
            <c:ext xmlns:c16="http://schemas.microsoft.com/office/drawing/2014/chart" uri="{C3380CC4-5D6E-409C-BE32-E72D297353CC}">
              <c16:uniqueId val="{00000001-B021-4D3C-8E9A-E2D0C55FCEB0}"/>
            </c:ext>
          </c:extLst>
        </c:ser>
        <c:dLbls/>
        <c:marker val="1"/>
        <c:axId val="85349888"/>
        <c:axId val="85351424"/>
      </c:lineChart>
      <c:catAx>
        <c:axId val="8534988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5351424"/>
        <c:crosses val="autoZero"/>
        <c:auto val="1"/>
        <c:lblAlgn val="ctr"/>
        <c:lblOffset val="100"/>
      </c:catAx>
      <c:valAx>
        <c:axId val="85351424"/>
        <c:scaling>
          <c:orientation val="minMax"/>
          <c:max val="1"/>
        </c:scaling>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pt-BR"/>
          </a:p>
        </c:txPr>
        <c:crossAx val="85349888"/>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8" footer="0.31496062000000008"/>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12</xdr:col>
      <xdr:colOff>284485</xdr:colOff>
      <xdr:row>2</xdr:row>
      <xdr:rowOff>73611</xdr:rowOff>
    </xdr:from>
    <xdr:to>
      <xdr:col>12</xdr:col>
      <xdr:colOff>1355482</xdr:colOff>
      <xdr:row>9</xdr:row>
      <xdr:rowOff>50395</xdr:rowOff>
    </xdr:to>
    <xdr:pic>
      <xdr:nvPicPr>
        <xdr:cNvPr id="2" name="Imagem 1" descr="http://www.educadores.diaadia.pr.gov.br/modules/galeria/uploads/10/normal_1409848497distrito_federal_brasao.pn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561460" y="445086"/>
          <a:ext cx="1109097" cy="142458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582084</xdr:colOff>
      <xdr:row>4</xdr:row>
      <xdr:rowOff>127000</xdr:rowOff>
    </xdr:from>
    <xdr:to>
      <xdr:col>6</xdr:col>
      <xdr:colOff>560918</xdr:colOff>
      <xdr:row>8</xdr:row>
      <xdr:rowOff>158750</xdr:rowOff>
    </xdr:to>
    <xdr:pic>
      <xdr:nvPicPr>
        <xdr:cNvPr id="2" name="image1.jpe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716309" y="860425"/>
          <a:ext cx="893233"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582084</xdr:colOff>
      <xdr:row>4</xdr:row>
      <xdr:rowOff>127000</xdr:rowOff>
    </xdr:from>
    <xdr:to>
      <xdr:col>6</xdr:col>
      <xdr:colOff>564093</xdr:colOff>
      <xdr:row>8</xdr:row>
      <xdr:rowOff>161925</xdr:rowOff>
    </xdr:to>
    <xdr:pic>
      <xdr:nvPicPr>
        <xdr:cNvPr id="2" name="image1.jpe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287684" y="860425"/>
          <a:ext cx="893234"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582084</xdr:colOff>
      <xdr:row>4</xdr:row>
      <xdr:rowOff>127000</xdr:rowOff>
    </xdr:from>
    <xdr:to>
      <xdr:col>6</xdr:col>
      <xdr:colOff>562823</xdr:colOff>
      <xdr:row>8</xdr:row>
      <xdr:rowOff>164465</xdr:rowOff>
    </xdr:to>
    <xdr:pic>
      <xdr:nvPicPr>
        <xdr:cNvPr id="2" name="image1.jpe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659159" y="889000"/>
          <a:ext cx="893234" cy="80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400050</xdr:colOff>
      <xdr:row>1</xdr:row>
      <xdr:rowOff>171450</xdr:rowOff>
    </xdr:from>
    <xdr:to>
      <xdr:col>4</xdr:col>
      <xdr:colOff>57785</xdr:colOff>
      <xdr:row>5</xdr:row>
      <xdr:rowOff>152400</xdr:rowOff>
    </xdr:to>
    <xdr:pic>
      <xdr:nvPicPr>
        <xdr:cNvPr id="2" name="image1.jpe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248400" y="304800"/>
          <a:ext cx="889000" cy="952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306915</xdr:colOff>
      <xdr:row>2</xdr:row>
      <xdr:rowOff>84667</xdr:rowOff>
    </xdr:from>
    <xdr:to>
      <xdr:col>9</xdr:col>
      <xdr:colOff>433915</xdr:colOff>
      <xdr:row>7</xdr:row>
      <xdr:rowOff>121708</xdr:rowOff>
    </xdr:to>
    <xdr:pic>
      <xdr:nvPicPr>
        <xdr:cNvPr id="2" name="image1.jpe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888940" y="465667"/>
          <a:ext cx="1041400" cy="11324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79375</xdr:colOff>
      <xdr:row>64</xdr:row>
      <xdr:rowOff>222250</xdr:rowOff>
    </xdr:from>
    <xdr:to>
      <xdr:col>14</xdr:col>
      <xdr:colOff>111126</xdr:colOff>
      <xdr:row>86</xdr:row>
      <xdr:rowOff>31751</xdr:rowOff>
    </xdr:to>
    <xdr:graphicFrame macro="">
      <xdr:nvGraphicFramePr>
        <xdr:cNvPr id="2" name="Gráfico 1">
          <a:extLst>
            <a:ext uri="{FF2B5EF4-FFF2-40B4-BE49-F238E27FC236}">
              <a16:creationId xmlns:a16="http://schemas.microsoft.com/office/drawing/2014/main" xmlns="" id="{A8636B0B-105B-4711-AE87-9F5C839B2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190500</xdr:colOff>
      <xdr:row>1</xdr:row>
      <xdr:rowOff>174625</xdr:rowOff>
    </xdr:from>
    <xdr:to>
      <xdr:col>13</xdr:col>
      <xdr:colOff>173990</xdr:colOff>
      <xdr:row>6</xdr:row>
      <xdr:rowOff>33020</xdr:rowOff>
    </xdr:to>
    <xdr:pic>
      <xdr:nvPicPr>
        <xdr:cNvPr id="3" name="image1.jpeg">
          <a:extLst>
            <a:ext uri="{FF2B5EF4-FFF2-40B4-BE49-F238E27FC236}">
              <a16:creationId xmlns:a16="http://schemas.microsoft.com/office/drawing/2014/main" xmlns="" id="{05E890A8-E4EB-420C-BC6B-BA2964853D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7781925" y="374650"/>
          <a:ext cx="593090" cy="8108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_PROENGE\BKP\HD1\Documents%20and%20Settings\AERONAUTICA\COMAR\NuBDAAE\OR&#199;AMENTO\OR&#199;AMENTO_R04\ORCA_1BDAAE_R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PROENGE\BKP\HD1\Documents%20and%20Settings\ArqBR-CODHAB\OR&#199;AMENTOS\OR&#199;AMENTO%20DESONERADO\Orca_Crixa_desoner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qBr-CODHAB/OR&#199;AMENTO%20DESONERADO/Or&#231;amento_Desonerado/Orca_Crixa_desonerado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qBr-CODHAB/Or&#231;amento%20Desonerado/Orca_Crixa_desonerado_V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gostinho.tosto/AppData/Local/Microsoft/Windows/INetCache/Content.Outlook/B1E3YFXN/cc_3_22_Orcamento_CE%20Crix&#225;_II%20(0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DI"/>
      <sheetName val="Resumo"/>
      <sheetName val="Orçamento"/>
      <sheetName val="Cronograma"/>
      <sheetName val="Composicoes"/>
      <sheetName val="Cotações"/>
      <sheetName val="Plan1"/>
    </sheetNames>
    <sheetDataSet>
      <sheetData sheetId="0"/>
      <sheetData sheetId="1"/>
      <sheetData sheetId="2">
        <row r="11">
          <cell r="B11" t="str">
            <v>02.00.000</v>
          </cell>
          <cell r="D11" t="str">
            <v>SERVIÇOS PRELIMINARES</v>
          </cell>
        </row>
        <row r="62">
          <cell r="B62" t="str">
            <v>03.00.000</v>
          </cell>
          <cell r="D62" t="str">
            <v xml:space="preserve">FUNDAÇÕES E ESTRUTURAS </v>
          </cell>
        </row>
        <row r="124">
          <cell r="B124" t="str">
            <v>04.00.000</v>
          </cell>
          <cell r="D124" t="str">
            <v>ARQUITETURA E ELEMENTOS DE URBANISMO</v>
          </cell>
        </row>
        <row r="350">
          <cell r="B350" t="str">
            <v>05.00.000</v>
          </cell>
          <cell r="D350" t="str">
            <v xml:space="preserve">INSTALAÇÕES HIDRÁULICAS E SANITÁRIAS </v>
          </cell>
        </row>
        <row r="532">
          <cell r="B532" t="str">
            <v>06.00.000</v>
          </cell>
          <cell r="D532" t="str">
            <v>INSTALAÇÕES ELÉTRICAS E ELETRÔNICAS</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RCA"/>
      <sheetName val="RESUMO"/>
      <sheetName val="CRONOGRAMA"/>
      <sheetName val="BDI"/>
    </sheetNames>
    <sheetDataSet>
      <sheetData sheetId="0" refreshError="1">
        <row r="173">
          <cell r="A173" t="str">
            <v>03.03.000</v>
          </cell>
          <cell r="B173" t="str">
            <v>Estruturas Metálicas</v>
          </cell>
        </row>
        <row r="181">
          <cell r="A181" t="str">
            <v>04.01.100</v>
          </cell>
          <cell r="B181" t="str">
            <v>Paredes</v>
          </cell>
        </row>
        <row r="197">
          <cell r="A197" t="str">
            <v>04.01.200</v>
          </cell>
          <cell r="B197" t="str">
            <v>Esquadrias</v>
          </cell>
        </row>
        <row r="237">
          <cell r="A237" t="str">
            <v>04.01.240</v>
          </cell>
          <cell r="B237" t="str">
            <v>Portas e Janelas de vidro</v>
          </cell>
        </row>
        <row r="245">
          <cell r="A245" t="str">
            <v>04.01.300</v>
          </cell>
        </row>
        <row r="264">
          <cell r="A264" t="str">
            <v>04.01.510</v>
          </cell>
        </row>
        <row r="387">
          <cell r="A387" t="str">
            <v>05.01.000</v>
          </cell>
          <cell r="B387" t="str">
            <v>Água Fria</v>
          </cell>
        </row>
        <row r="429">
          <cell r="A429" t="str">
            <v>05.01.500</v>
          </cell>
        </row>
        <row r="453">
          <cell r="A453" t="str">
            <v>05.03.000</v>
          </cell>
          <cell r="B453" t="str">
            <v>Drenagem de Águas Pluviais</v>
          </cell>
        </row>
        <row r="471">
          <cell r="A471" t="str">
            <v>05.04.000</v>
          </cell>
          <cell r="B471" t="str">
            <v>Esgotos Sanitários</v>
          </cell>
        </row>
        <row r="509">
          <cell r="A509" t="str">
            <v>06.01.000</v>
          </cell>
          <cell r="B509" t="str">
            <v>Instalações Elétricas</v>
          </cell>
        </row>
        <row r="569">
          <cell r="A569" t="str">
            <v>06.01.400</v>
          </cell>
        </row>
        <row r="605">
          <cell r="A605" t="str">
            <v>06.02.000</v>
          </cell>
          <cell r="B605" t="str">
            <v>Telefonia Antena de TV</v>
          </cell>
        </row>
        <row r="639">
          <cell r="A639" t="str">
            <v>06.03.000</v>
          </cell>
          <cell r="B639" t="str">
            <v>Detecção e Alarme de Incêndio</v>
          </cell>
        </row>
        <row r="682">
          <cell r="A682" t="str">
            <v>07.07.000</v>
          </cell>
          <cell r="B682" t="str">
            <v>Gás Combustível</v>
          </cell>
        </row>
        <row r="688">
          <cell r="A688" t="str">
            <v>08.00.000</v>
          </cell>
          <cell r="B688" t="str">
            <v>INSTALAÇÕES DE PREVENÇÃO E COMBATE A INCÊNDIO</v>
          </cell>
        </row>
        <row r="731">
          <cell r="A731" t="str">
            <v>09.00.000</v>
          </cell>
          <cell r="B731" t="str">
            <v>SERVIÇOS COMPLEMENTARES</v>
          </cell>
        </row>
        <row r="744">
          <cell r="A744" t="str">
            <v>10.00.000</v>
          </cell>
          <cell r="B744" t="str">
            <v>SERVIÇOS AUXILIARES E ADMINISTRATIVOS</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CA"/>
      <sheetName val="RESUMO"/>
      <sheetName val="CRONOGRAMA"/>
      <sheetName val="BDI"/>
      <sheetName val="CPU"/>
    </sheetNames>
    <sheetDataSet>
      <sheetData sheetId="0" refreshError="1"/>
      <sheetData sheetId="1">
        <row r="8">
          <cell r="B8" t="str">
            <v>BDI:</v>
          </cell>
        </row>
        <row r="49">
          <cell r="B49" t="str">
            <v>08.00.000</v>
          </cell>
          <cell r="C49" t="str">
            <v>INSTALAÇÕES DE PREVENÇÃO E COMBATE A INCÊNDIO</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RCA"/>
      <sheetName val="RESUMO"/>
      <sheetName val="CRONOGRAMA"/>
      <sheetName val="BDI"/>
      <sheetName val="CPU"/>
    </sheetNames>
    <sheetDataSet>
      <sheetData sheetId="0"/>
      <sheetData sheetId="1">
        <row r="50">
          <cell r="B50" t="str">
            <v>09.00.000</v>
          </cell>
          <cell r="C50" t="str">
            <v>SERVIÇOS COMPLEMENTARES</v>
          </cell>
        </row>
        <row r="51">
          <cell r="B51" t="str">
            <v>10.00.000</v>
          </cell>
          <cell r="C51" t="str">
            <v>SERVIÇOS AUXILIARES E ADMINISTRATIVOS</v>
          </cell>
        </row>
      </sheetData>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APA"/>
      <sheetName val="ORCA"/>
      <sheetName val="Não Financiável"/>
      <sheetName val="Financiável"/>
      <sheetName val="RESUMO"/>
      <sheetName val="CRONOGRAMA"/>
      <sheetName val="BDI"/>
      <sheetName val="CPU"/>
      <sheetName val="Curva ABC"/>
      <sheetName val="INC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6">
          <cell r="G16">
            <v>0.2168985879635022</v>
          </cell>
          <cell r="H16">
            <v>0.2168985879635022</v>
          </cell>
          <cell r="J16" t="str">
            <v>Estruturas Metálicas</v>
          </cell>
        </row>
        <row r="17">
          <cell r="G17">
            <v>0.12702675180815495</v>
          </cell>
          <cell r="H17">
            <v>0.34392533977165718</v>
          </cell>
          <cell r="J17" t="str">
            <v>Estruturas de Concreto</v>
          </cell>
        </row>
        <row r="18">
          <cell r="G18">
            <v>8.4216159519952441E-2</v>
          </cell>
          <cell r="H18">
            <v>0.42814149929160961</v>
          </cell>
          <cell r="J18" t="str">
            <v>Impermeabilizações</v>
          </cell>
        </row>
        <row r="19">
          <cell r="G19">
            <v>7.0324193551665123E-2</v>
          </cell>
          <cell r="H19">
            <v>0.49846569284327474</v>
          </cell>
          <cell r="J19" t="str">
            <v>Esquadrias</v>
          </cell>
        </row>
        <row r="20">
          <cell r="G20">
            <v>5.5928431543592103E-2</v>
          </cell>
          <cell r="H20">
            <v>0.55439412438686686</v>
          </cell>
          <cell r="J20" t="str">
            <v>Revestimentos de Pisos</v>
          </cell>
        </row>
        <row r="21">
          <cell r="G21">
            <v>4.5097070378820402E-2</v>
          </cell>
          <cell r="H21">
            <v>0.59949119476568724</v>
          </cell>
          <cell r="J21" t="str">
            <v>Blocos e Cintas de Fundação</v>
          </cell>
        </row>
        <row r="22">
          <cell r="G22">
            <v>4.3768225003952575E-2</v>
          </cell>
          <cell r="H22">
            <v>0.64325941976963985</v>
          </cell>
          <cell r="J22" t="str">
            <v>Serviços Auxiliares e Administrativos</v>
          </cell>
        </row>
        <row r="23">
          <cell r="G23">
            <v>4.2374858250686348E-2</v>
          </cell>
          <cell r="H23">
            <v>0.68563427802032617</v>
          </cell>
          <cell r="J23" t="str">
            <v>Fundações Profundas</v>
          </cell>
        </row>
        <row r="24">
          <cell r="G24">
            <v>3.7912080522034208E-2</v>
          </cell>
          <cell r="H24">
            <v>0.72354635854236038</v>
          </cell>
          <cell r="J24" t="str">
            <v>Paredes</v>
          </cell>
        </row>
        <row r="25">
          <cell r="G25">
            <v>3.4872470609638231E-2</v>
          </cell>
          <cell r="H25">
            <v>0.75841882915199865</v>
          </cell>
          <cell r="J25" t="str">
            <v>Serviços Preliminares</v>
          </cell>
        </row>
        <row r="26">
          <cell r="G26">
            <v>2.9994202940139582E-2</v>
          </cell>
          <cell r="H26">
            <v>0.7884130320921382</v>
          </cell>
          <cell r="J26" t="str">
            <v>Instalações Elétricas</v>
          </cell>
        </row>
        <row r="27">
          <cell r="G27">
            <v>2.3776828255193439E-2</v>
          </cell>
          <cell r="H27">
            <v>0.81218986034733165</v>
          </cell>
          <cell r="J27" t="str">
            <v>Instalações de Prevenção e Combate a Incêndio</v>
          </cell>
        </row>
        <row r="28">
          <cell r="G28">
            <v>2.2416137953595358E-2</v>
          </cell>
          <cell r="H28">
            <v>0.83460599830092697</v>
          </cell>
          <cell r="J28" t="str">
            <v>Revestimentos de Parede</v>
          </cell>
        </row>
        <row r="29">
          <cell r="G29">
            <v>2.2120261535836371E-2</v>
          </cell>
          <cell r="H29">
            <v>0.85672625983676332</v>
          </cell>
          <cell r="J29" t="str">
            <v>Drenagem de Águas Pluviais</v>
          </cell>
        </row>
        <row r="30">
          <cell r="G30">
            <v>2.1512346406192054E-2</v>
          </cell>
          <cell r="H30">
            <v>0.87823860624295536</v>
          </cell>
          <cell r="J30" t="str">
            <v>Pinturas</v>
          </cell>
        </row>
        <row r="31">
          <cell r="G31">
            <v>1.7162801446829822E-2</v>
          </cell>
          <cell r="H31">
            <v>0.89540140768978516</v>
          </cell>
          <cell r="J31" t="str">
            <v>Pavimentação</v>
          </cell>
        </row>
        <row r="32">
          <cell r="G32">
            <v>1.5957791636701583E-2</v>
          </cell>
          <cell r="H32">
            <v>0.91135919932648679</v>
          </cell>
          <cell r="J32" t="str">
            <v>Vidros e Plásticos</v>
          </cell>
        </row>
        <row r="33">
          <cell r="G33">
            <v>1.1438611795211523E-2</v>
          </cell>
          <cell r="H33">
            <v>0.92279781112169834</v>
          </cell>
          <cell r="J33" t="str">
            <v>Iluminação e Tomadas</v>
          </cell>
        </row>
        <row r="34">
          <cell r="G34">
            <v>9.8375731868433521E-3</v>
          </cell>
          <cell r="H34">
            <v>0.93263538430854165</v>
          </cell>
          <cell r="J34" t="str">
            <v>Portas e Janelas de Vidro</v>
          </cell>
        </row>
        <row r="35">
          <cell r="G35">
            <v>8.7296565503932194E-3</v>
          </cell>
          <cell r="H35">
            <v>0.94136504085893491</v>
          </cell>
          <cell r="J35" t="str">
            <v>Revestimentos de Forro</v>
          </cell>
        </row>
        <row r="36">
          <cell r="G36">
            <v>8.4987832014483938E-3</v>
          </cell>
          <cell r="H36">
            <v>0.94986382406038328</v>
          </cell>
          <cell r="J36" t="str">
            <v>Cobertura e Fechamento Lateral</v>
          </cell>
        </row>
        <row r="37">
          <cell r="G37">
            <v>6.763775842941985E-3</v>
          </cell>
          <cell r="H37">
            <v>0.95662759990332524</v>
          </cell>
          <cell r="J37" t="str">
            <v>Paisagismo</v>
          </cell>
        </row>
        <row r="38">
          <cell r="G38">
            <v>6.2179441380200186E-3</v>
          </cell>
          <cell r="H38">
            <v>0.96284554404134526</v>
          </cell>
          <cell r="J38" t="str">
            <v>Acabamentos e Arremates</v>
          </cell>
        </row>
        <row r="39">
          <cell r="G39">
            <v>6.2055132375306325E-3</v>
          </cell>
          <cell r="H39">
            <v>0.96905105727887586</v>
          </cell>
          <cell r="J39" t="str">
            <v>Detecção e Alarme de Incêndio</v>
          </cell>
        </row>
        <row r="40">
          <cell r="G40">
            <v>6.1251409917676535E-3</v>
          </cell>
          <cell r="H40">
            <v>0.9751761982706435</v>
          </cell>
          <cell r="J40" t="str">
            <v>Esgotos Sanitários</v>
          </cell>
        </row>
        <row r="41">
          <cell r="G41">
            <v>5.464740424052884E-3</v>
          </cell>
          <cell r="H41">
            <v>0.98064093869469637</v>
          </cell>
          <cell r="J41" t="str">
            <v>Aparelhos e Acessórios Sanitários</v>
          </cell>
        </row>
        <row r="42">
          <cell r="G42">
            <v>3.9761721006606405E-3</v>
          </cell>
          <cell r="H42">
            <v>0.98461711079535696</v>
          </cell>
          <cell r="J42" t="str">
            <v>Serviços Complementares</v>
          </cell>
        </row>
        <row r="43">
          <cell r="G43">
            <v>3.6270554648211075E-3</v>
          </cell>
          <cell r="H43">
            <v>0.98824416626017808</v>
          </cell>
          <cell r="J43" t="str">
            <v>Equipamentos e Acessórios</v>
          </cell>
        </row>
        <row r="44">
          <cell r="G44">
            <v>2.4689434114381226E-3</v>
          </cell>
          <cell r="H44">
            <v>0.99071310967161619</v>
          </cell>
          <cell r="J44" t="str">
            <v>Ar Condicionado</v>
          </cell>
        </row>
        <row r="45">
          <cell r="G45">
            <v>2.2030394155974362E-3</v>
          </cell>
          <cell r="H45">
            <v>0.9929161490872136</v>
          </cell>
          <cell r="J45" t="str">
            <v>Telefonia e Antena de TV</v>
          </cell>
        </row>
        <row r="46">
          <cell r="G46">
            <v>2.1050781948563201E-3</v>
          </cell>
          <cell r="H46">
            <v>0.99502122728206988</v>
          </cell>
          <cell r="J46" t="str">
            <v>Aterramento e Proteção contra Descargas Atmosféricas</v>
          </cell>
        </row>
        <row r="47">
          <cell r="G47">
            <v>1.4448881663486155E-3</v>
          </cell>
          <cell r="H47">
            <v>0.99646611544841845</v>
          </cell>
          <cell r="J47" t="str">
            <v>Mantas Termo-acústicas</v>
          </cell>
        </row>
        <row r="48">
          <cell r="G48">
            <v>1.4383242354813973E-3</v>
          </cell>
          <cell r="H48">
            <v>0.99790443968389986</v>
          </cell>
          <cell r="J48" t="str">
            <v>Gás Combustível</v>
          </cell>
        </row>
        <row r="49">
          <cell r="G49">
            <v>1.3479520282417745E-3</v>
          </cell>
          <cell r="H49">
            <v>0.99925239171214164</v>
          </cell>
          <cell r="J49" t="str">
            <v>Água Fria</v>
          </cell>
        </row>
        <row r="50">
          <cell r="G50">
            <v>3.0062964863330517E-4</v>
          </cell>
          <cell r="H50">
            <v>0.99955302136077495</v>
          </cell>
          <cell r="J50" t="str">
            <v>Comunicação Visual</v>
          </cell>
        </row>
        <row r="51">
          <cell r="G51">
            <v>2.247207367692684E-4</v>
          </cell>
          <cell r="H51">
            <v>0.99977774209754422</v>
          </cell>
          <cell r="J51" t="str">
            <v>Sistema Viário</v>
          </cell>
        </row>
        <row r="52">
          <cell r="G52">
            <v>2.2225790245526282E-4</v>
          </cell>
          <cell r="H52">
            <v>0.99999999999999944</v>
          </cell>
          <cell r="J52" t="str">
            <v>Serviços Técnicos Profissionais</v>
          </cell>
        </row>
      </sheetData>
      <sheetData sheetId="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I136"/>
  <sheetViews>
    <sheetView topLeftCell="A31" zoomScaleNormal="100" workbookViewId="0">
      <selection activeCell="M45" sqref="M45"/>
    </sheetView>
  </sheetViews>
  <sheetFormatPr defaultColWidth="8.85546875" defaultRowHeight="15"/>
  <cols>
    <col min="1" max="1" width="2.7109375" style="235" customWidth="1"/>
    <col min="2" max="2" width="3.42578125" customWidth="1"/>
    <col min="5" max="5" width="6.28515625" customWidth="1"/>
    <col min="13" max="13" width="23.42578125" bestFit="1" customWidth="1"/>
    <col min="14" max="14" width="3.42578125" customWidth="1"/>
    <col min="15" max="16" width="8.85546875" style="235"/>
    <col min="17" max="17" width="15.85546875" style="235" bestFit="1" customWidth="1"/>
    <col min="18" max="35" width="8.85546875" style="235"/>
  </cols>
  <sheetData>
    <row r="1" spans="2:16" s="235" customFormat="1" ht="15.75" thickBot="1"/>
    <row r="2" spans="2:16" ht="13.9" customHeight="1" thickBot="1">
      <c r="B2" s="216"/>
      <c r="C2" s="217"/>
      <c r="D2" s="217"/>
      <c r="E2" s="217"/>
      <c r="F2" s="217"/>
      <c r="G2" s="217"/>
      <c r="H2" s="217"/>
      <c r="I2" s="217"/>
      <c r="J2" s="217"/>
      <c r="K2" s="217"/>
      <c r="L2" s="217"/>
      <c r="M2" s="217"/>
      <c r="N2" s="218"/>
      <c r="O2" s="223"/>
      <c r="P2" s="223"/>
    </row>
    <row r="3" spans="2:16">
      <c r="B3" s="219"/>
      <c r="C3" s="220"/>
      <c r="D3" s="217"/>
      <c r="E3" s="217"/>
      <c r="F3" s="217"/>
      <c r="G3" s="217"/>
      <c r="H3" s="217"/>
      <c r="I3" s="217"/>
      <c r="J3" s="217"/>
      <c r="K3" s="217"/>
      <c r="L3" s="217"/>
      <c r="M3" s="218"/>
      <c r="N3" s="221"/>
      <c r="O3" s="223"/>
      <c r="P3" s="223"/>
    </row>
    <row r="4" spans="2:16">
      <c r="B4" s="219"/>
      <c r="C4" s="222"/>
      <c r="D4" s="223"/>
      <c r="E4" s="223"/>
      <c r="F4" s="223"/>
      <c r="G4" s="223"/>
      <c r="H4" s="223"/>
      <c r="I4" s="223"/>
      <c r="J4" s="223"/>
      <c r="K4" s="223"/>
      <c r="L4" s="223"/>
      <c r="M4" s="221"/>
      <c r="N4" s="221"/>
      <c r="O4" s="223"/>
      <c r="P4" s="223"/>
    </row>
    <row r="5" spans="2:16">
      <c r="B5" s="219"/>
      <c r="C5" s="222"/>
      <c r="D5" s="223"/>
      <c r="E5" s="223"/>
      <c r="F5" s="223"/>
      <c r="G5" s="223"/>
      <c r="H5" s="223"/>
      <c r="I5" s="223"/>
      <c r="J5" s="223"/>
      <c r="K5" s="223"/>
      <c r="L5" s="223"/>
      <c r="M5" s="221"/>
      <c r="N5" s="221"/>
      <c r="O5" s="223"/>
      <c r="P5" s="223"/>
    </row>
    <row r="6" spans="2:16">
      <c r="B6" s="219"/>
      <c r="C6" s="222"/>
      <c r="D6" s="223"/>
      <c r="E6" s="223"/>
      <c r="F6" s="223"/>
      <c r="G6" s="223"/>
      <c r="H6" s="223"/>
      <c r="I6" s="223"/>
      <c r="J6" s="223"/>
      <c r="K6" s="223"/>
      <c r="L6" s="223"/>
      <c r="M6" s="221"/>
      <c r="N6" s="221"/>
      <c r="O6" s="223"/>
      <c r="P6" s="223"/>
    </row>
    <row r="7" spans="2:16" ht="18">
      <c r="B7" s="219"/>
      <c r="C7" s="541" t="s">
        <v>2232</v>
      </c>
      <c r="D7" s="542"/>
      <c r="E7" s="542"/>
      <c r="F7" s="542"/>
      <c r="G7" s="542"/>
      <c r="H7" s="542"/>
      <c r="I7" s="542"/>
      <c r="J7" s="542"/>
      <c r="K7" s="542"/>
      <c r="L7" s="542"/>
      <c r="M7" s="543"/>
      <c r="N7" s="221"/>
      <c r="O7" s="223"/>
      <c r="P7" s="223"/>
    </row>
    <row r="8" spans="2:16" ht="18">
      <c r="B8" s="219"/>
      <c r="C8" s="544" t="s">
        <v>2234</v>
      </c>
      <c r="D8" s="545"/>
      <c r="E8" s="545"/>
      <c r="F8" s="545"/>
      <c r="G8" s="545"/>
      <c r="H8" s="545"/>
      <c r="I8" s="545"/>
      <c r="J8" s="545"/>
      <c r="K8" s="545"/>
      <c r="L8" s="545"/>
      <c r="M8" s="546"/>
      <c r="N8" s="221"/>
      <c r="O8" s="223"/>
      <c r="P8" s="223"/>
    </row>
    <row r="9" spans="2:16" ht="18">
      <c r="B9" s="219"/>
      <c r="C9" s="544" t="s">
        <v>2235</v>
      </c>
      <c r="D9" s="545"/>
      <c r="E9" s="545"/>
      <c r="F9" s="545"/>
      <c r="G9" s="545"/>
      <c r="H9" s="545"/>
      <c r="I9" s="545"/>
      <c r="J9" s="545"/>
      <c r="K9" s="545"/>
      <c r="L9" s="545"/>
      <c r="M9" s="546"/>
      <c r="N9" s="221"/>
      <c r="O9" s="223"/>
      <c r="P9" s="223"/>
    </row>
    <row r="10" spans="2:16">
      <c r="B10" s="219"/>
      <c r="C10" s="222"/>
      <c r="D10" s="223"/>
      <c r="E10" s="223"/>
      <c r="F10" s="223"/>
      <c r="G10" s="223"/>
      <c r="H10" s="223"/>
      <c r="I10" s="223"/>
      <c r="J10" s="223"/>
      <c r="K10" s="223"/>
      <c r="L10" s="223"/>
      <c r="M10" s="221"/>
      <c r="N10" s="221"/>
      <c r="O10" s="223"/>
      <c r="P10" s="223"/>
    </row>
    <row r="11" spans="2:16" ht="18">
      <c r="B11" s="219"/>
      <c r="C11" s="547" t="s">
        <v>2745</v>
      </c>
      <c r="D11" s="548"/>
      <c r="E11" s="548"/>
      <c r="F11" s="548"/>
      <c r="G11" s="548"/>
      <c r="H11" s="548"/>
      <c r="I11" s="548"/>
      <c r="J11" s="548"/>
      <c r="K11" s="548"/>
      <c r="L11" s="548"/>
      <c r="M11" s="549"/>
      <c r="N11" s="221"/>
      <c r="O11" s="223"/>
      <c r="P11" s="223"/>
    </row>
    <row r="12" spans="2:16" ht="15.75" thickBot="1">
      <c r="B12" s="219"/>
      <c r="C12" s="550" t="s">
        <v>2746</v>
      </c>
      <c r="D12" s="551"/>
      <c r="E12" s="551"/>
      <c r="F12" s="551"/>
      <c r="G12" s="551"/>
      <c r="H12" s="551"/>
      <c r="I12" s="551"/>
      <c r="J12" s="551"/>
      <c r="K12" s="551"/>
      <c r="L12" s="551"/>
      <c r="M12" s="552"/>
      <c r="N12" s="221"/>
      <c r="O12" s="223"/>
      <c r="P12" s="223"/>
    </row>
    <row r="13" spans="2:16" ht="9" customHeight="1" thickBot="1">
      <c r="B13" s="219"/>
      <c r="C13" s="145"/>
      <c r="D13" s="145"/>
      <c r="E13" s="145"/>
      <c r="F13" s="145"/>
      <c r="G13" s="145"/>
      <c r="H13" s="145"/>
      <c r="I13" s="145"/>
      <c r="J13" s="145"/>
      <c r="K13" s="145"/>
      <c r="L13" s="145"/>
      <c r="M13" s="145"/>
      <c r="N13" s="221"/>
      <c r="O13" s="223"/>
      <c r="P13" s="223"/>
    </row>
    <row r="14" spans="2:16">
      <c r="B14" s="219"/>
      <c r="C14" s="220"/>
      <c r="D14" s="217"/>
      <c r="E14" s="217"/>
      <c r="F14" s="217"/>
      <c r="G14" s="217"/>
      <c r="H14" s="217"/>
      <c r="I14" s="217"/>
      <c r="J14" s="217"/>
      <c r="K14" s="217"/>
      <c r="L14" s="217"/>
      <c r="M14" s="218"/>
      <c r="N14" s="221"/>
      <c r="O14" s="223"/>
      <c r="P14" s="223"/>
    </row>
    <row r="15" spans="2:16">
      <c r="B15" s="219"/>
      <c r="C15" s="222"/>
      <c r="D15" s="223"/>
      <c r="E15" s="223"/>
      <c r="F15" s="223"/>
      <c r="G15" s="223"/>
      <c r="H15" s="223"/>
      <c r="I15" s="223"/>
      <c r="J15" s="223"/>
      <c r="K15" s="223"/>
      <c r="L15" s="223"/>
      <c r="M15" s="221"/>
      <c r="N15" s="221"/>
      <c r="O15" s="223"/>
      <c r="P15" s="223"/>
    </row>
    <row r="16" spans="2:16">
      <c r="B16" s="219"/>
      <c r="C16" s="222"/>
      <c r="D16" s="223"/>
      <c r="E16" s="223"/>
      <c r="F16" s="223"/>
      <c r="G16" s="223"/>
      <c r="H16" s="223"/>
      <c r="I16" s="223"/>
      <c r="J16" s="223"/>
      <c r="K16" s="223"/>
      <c r="L16" s="223"/>
      <c r="M16" s="221"/>
      <c r="N16" s="221"/>
      <c r="O16" s="223"/>
      <c r="P16" s="223"/>
    </row>
    <row r="17" spans="2:16">
      <c r="B17" s="219"/>
      <c r="C17" s="222"/>
      <c r="D17" s="223"/>
      <c r="E17" s="223"/>
      <c r="F17" s="223"/>
      <c r="G17" s="223"/>
      <c r="H17" s="223"/>
      <c r="I17" s="223"/>
      <c r="J17" s="223"/>
      <c r="K17" s="223"/>
      <c r="L17" s="223"/>
      <c r="M17" s="221"/>
      <c r="N17" s="221"/>
      <c r="O17" s="223"/>
      <c r="P17" s="223"/>
    </row>
    <row r="18" spans="2:16" ht="15.75">
      <c r="B18" s="219"/>
      <c r="C18" s="224" t="s">
        <v>2747</v>
      </c>
      <c r="D18" s="225"/>
      <c r="E18" s="223"/>
      <c r="F18" s="225" t="s">
        <v>2748</v>
      </c>
      <c r="G18" s="223"/>
      <c r="H18" s="223"/>
      <c r="I18" s="223"/>
      <c r="J18" s="223"/>
      <c r="K18" s="223"/>
      <c r="L18" s="223"/>
      <c r="M18" s="221"/>
      <c r="N18" s="221"/>
      <c r="O18" s="223"/>
      <c r="P18" s="223"/>
    </row>
    <row r="19" spans="2:16" ht="15.75">
      <c r="B19" s="219"/>
      <c r="C19" s="226"/>
      <c r="D19" s="223"/>
      <c r="E19" s="223"/>
      <c r="F19" s="223"/>
      <c r="G19" s="223"/>
      <c r="H19" s="223"/>
      <c r="I19" s="223"/>
      <c r="J19" s="223"/>
      <c r="K19" s="223"/>
      <c r="L19" s="223"/>
      <c r="M19" s="221"/>
      <c r="N19" s="221"/>
      <c r="O19" s="223"/>
      <c r="P19" s="223"/>
    </row>
    <row r="20" spans="2:16" ht="15.75">
      <c r="B20" s="219"/>
      <c r="C20" s="226"/>
      <c r="D20" s="223"/>
      <c r="E20" s="223"/>
      <c r="F20" s="223"/>
      <c r="G20" s="223"/>
      <c r="H20" s="223"/>
      <c r="I20" s="223"/>
      <c r="J20" s="223"/>
      <c r="K20" s="223"/>
      <c r="L20" s="223"/>
      <c r="M20" s="221"/>
      <c r="N20" s="221"/>
      <c r="O20" s="223"/>
      <c r="P20" s="223"/>
    </row>
    <row r="21" spans="2:16" ht="15.75">
      <c r="B21" s="219"/>
      <c r="C21" s="226"/>
      <c r="D21" s="223"/>
      <c r="E21" s="223"/>
      <c r="F21" s="223"/>
      <c r="G21" s="223"/>
      <c r="H21" s="223"/>
      <c r="I21" s="223"/>
      <c r="J21" s="223"/>
      <c r="K21" s="223"/>
      <c r="L21" s="223"/>
      <c r="M21" s="221"/>
      <c r="N21" s="221"/>
      <c r="O21" s="223"/>
      <c r="P21" s="223"/>
    </row>
    <row r="22" spans="2:16" ht="15.75">
      <c r="B22" s="219"/>
      <c r="C22" s="226"/>
      <c r="D22" s="223"/>
      <c r="E22" s="223"/>
      <c r="F22" s="223"/>
      <c r="G22" s="223"/>
      <c r="H22" s="223"/>
      <c r="I22" s="223"/>
      <c r="J22" s="223"/>
      <c r="K22" s="223"/>
      <c r="L22" s="223"/>
      <c r="M22" s="221"/>
      <c r="N22" s="221"/>
      <c r="O22" s="223"/>
      <c r="P22" s="223"/>
    </row>
    <row r="23" spans="2:16" ht="15.75">
      <c r="B23" s="219"/>
      <c r="C23" s="224" t="s">
        <v>2749</v>
      </c>
      <c r="D23" s="223"/>
      <c r="E23" s="223"/>
      <c r="F23" s="227"/>
      <c r="G23" s="223"/>
      <c r="H23" s="223"/>
      <c r="I23" s="223"/>
      <c r="J23" s="223"/>
      <c r="K23" s="223"/>
      <c r="L23" s="223"/>
      <c r="M23" s="221"/>
      <c r="N23" s="221"/>
      <c r="O23" s="223"/>
      <c r="P23" s="223"/>
    </row>
    <row r="24" spans="2:16" ht="14.45" customHeight="1">
      <c r="B24" s="219"/>
      <c r="C24" s="224" t="s">
        <v>2750</v>
      </c>
      <c r="D24" s="223"/>
      <c r="E24" s="228"/>
      <c r="F24" s="227" t="s">
        <v>2751</v>
      </c>
      <c r="G24" s="229"/>
      <c r="H24" s="230"/>
      <c r="I24" s="231"/>
      <c r="J24" s="231"/>
      <c r="K24" s="232"/>
      <c r="L24" s="232"/>
      <c r="M24" s="233"/>
      <c r="N24" s="233"/>
      <c r="O24" s="232"/>
      <c r="P24" s="223"/>
    </row>
    <row r="25" spans="2:16" ht="14.45" customHeight="1">
      <c r="B25" s="219"/>
      <c r="C25" s="224" t="s">
        <v>2752</v>
      </c>
      <c r="D25" s="223"/>
      <c r="E25" s="229"/>
      <c r="F25" s="227" t="s">
        <v>2753</v>
      </c>
      <c r="G25" s="229"/>
      <c r="H25" s="231"/>
      <c r="I25" s="231"/>
      <c r="J25" s="231"/>
      <c r="K25" s="232"/>
      <c r="L25" s="232"/>
      <c r="M25" s="233"/>
      <c r="N25" s="233"/>
      <c r="O25" s="232"/>
      <c r="P25" s="223"/>
    </row>
    <row r="26" spans="2:16" ht="15.75">
      <c r="B26" s="219"/>
      <c r="C26" s="224" t="s">
        <v>2754</v>
      </c>
      <c r="D26" s="223"/>
      <c r="E26" s="223"/>
      <c r="F26" s="227" t="s">
        <v>2755</v>
      </c>
      <c r="G26" s="223"/>
      <c r="H26" s="223"/>
      <c r="I26" s="223"/>
      <c r="J26" s="223"/>
      <c r="K26" s="223"/>
      <c r="L26" s="223"/>
      <c r="M26" s="221"/>
      <c r="N26" s="221"/>
      <c r="O26" s="223"/>
      <c r="P26" s="223"/>
    </row>
    <row r="27" spans="2:16" ht="15.75">
      <c r="B27" s="219"/>
      <c r="C27" s="224" t="s">
        <v>2756</v>
      </c>
      <c r="D27" s="223"/>
      <c r="E27" s="223"/>
      <c r="F27" s="227"/>
      <c r="G27" s="223"/>
      <c r="H27" s="223"/>
      <c r="I27" s="223"/>
      <c r="J27" s="223"/>
      <c r="K27" s="223"/>
      <c r="L27" s="223"/>
      <c r="M27" s="221"/>
      <c r="N27" s="221"/>
      <c r="O27" s="223"/>
      <c r="P27" s="223"/>
    </row>
    <row r="28" spans="2:16" ht="15.75">
      <c r="B28" s="219"/>
      <c r="C28" s="224" t="s">
        <v>2757</v>
      </c>
      <c r="D28" s="223"/>
      <c r="E28" s="223"/>
      <c r="F28" s="227" t="s">
        <v>2758</v>
      </c>
      <c r="G28" s="223"/>
      <c r="H28" s="223"/>
      <c r="I28" s="223"/>
      <c r="J28" s="223"/>
      <c r="K28" s="223"/>
      <c r="L28" s="223"/>
      <c r="M28" s="221"/>
      <c r="N28" s="221"/>
      <c r="O28" s="223"/>
      <c r="P28" s="223"/>
    </row>
    <row r="29" spans="2:16" ht="15.75">
      <c r="B29" s="219"/>
      <c r="C29" s="224"/>
      <c r="D29" s="223"/>
      <c r="E29" s="223"/>
      <c r="F29" s="223"/>
      <c r="G29" s="223"/>
      <c r="H29" s="223"/>
      <c r="I29" s="223"/>
      <c r="J29" s="223"/>
      <c r="K29" s="223"/>
      <c r="L29" s="223"/>
      <c r="M29" s="221"/>
      <c r="N29" s="221"/>
      <c r="O29" s="223"/>
      <c r="P29" s="223"/>
    </row>
    <row r="30" spans="2:16" ht="15.75">
      <c r="B30" s="219"/>
      <c r="C30" s="224" t="s">
        <v>2759</v>
      </c>
      <c r="D30" s="223"/>
      <c r="E30" s="223"/>
      <c r="F30" s="223"/>
      <c r="G30" s="223"/>
      <c r="H30" s="223"/>
      <c r="I30" s="223"/>
      <c r="J30" s="223"/>
      <c r="K30" s="223"/>
      <c r="L30" s="223"/>
      <c r="M30" s="221"/>
      <c r="N30" s="221"/>
      <c r="O30" s="223"/>
      <c r="P30" s="223"/>
    </row>
    <row r="31" spans="2:16" ht="15.75">
      <c r="B31" s="219"/>
      <c r="C31" s="224" t="s">
        <v>2760</v>
      </c>
      <c r="D31" s="223"/>
      <c r="E31" s="223"/>
      <c r="F31" s="234" t="s">
        <v>2841</v>
      </c>
      <c r="G31" s="223"/>
      <c r="H31" s="223"/>
      <c r="I31" s="223"/>
      <c r="J31" s="223"/>
      <c r="K31" s="223"/>
      <c r="L31" s="223"/>
      <c r="M31" s="221"/>
      <c r="N31" s="221"/>
      <c r="O31" s="223"/>
      <c r="P31" s="223"/>
    </row>
    <row r="32" spans="2:16" ht="15.75">
      <c r="B32" s="219"/>
      <c r="C32" s="224" t="s">
        <v>2761</v>
      </c>
      <c r="D32" s="223"/>
      <c r="E32" s="223"/>
      <c r="F32" s="227" t="s">
        <v>2762</v>
      </c>
      <c r="G32" s="223"/>
      <c r="H32" s="223"/>
      <c r="I32" s="223"/>
      <c r="J32" s="223"/>
      <c r="K32" s="223"/>
      <c r="L32" s="223"/>
      <c r="M32" s="221"/>
      <c r="N32" s="221"/>
      <c r="O32" s="223"/>
      <c r="P32" s="223"/>
    </row>
    <row r="33" spans="2:17" ht="15.75">
      <c r="B33" s="219"/>
      <c r="C33" s="224"/>
      <c r="D33" s="235"/>
      <c r="E33" s="223"/>
      <c r="F33" s="223"/>
      <c r="G33" s="223"/>
      <c r="H33" s="223"/>
      <c r="I33" s="223"/>
      <c r="J33" s="223"/>
      <c r="K33" s="223"/>
      <c r="L33" s="223"/>
      <c r="M33" s="221"/>
      <c r="N33" s="221"/>
      <c r="O33" s="223"/>
      <c r="P33" s="223"/>
    </row>
    <row r="34" spans="2:17" ht="15.6" customHeight="1">
      <c r="B34" s="219"/>
      <c r="C34" s="224" t="s">
        <v>1889</v>
      </c>
      <c r="D34" s="223"/>
      <c r="E34" s="223"/>
      <c r="F34" s="537" t="s">
        <v>2763</v>
      </c>
      <c r="G34" s="537"/>
      <c r="H34" s="537"/>
      <c r="I34" s="537"/>
      <c r="J34" s="537"/>
      <c r="K34" s="537"/>
      <c r="L34" s="537"/>
      <c r="M34" s="538"/>
      <c r="N34" s="221"/>
      <c r="O34" s="223"/>
      <c r="P34" s="223"/>
    </row>
    <row r="35" spans="2:17" ht="15.6" customHeight="1">
      <c r="B35" s="219"/>
      <c r="C35" s="222"/>
      <c r="D35" s="223"/>
      <c r="E35" s="223"/>
      <c r="F35" s="537"/>
      <c r="G35" s="537"/>
      <c r="H35" s="537"/>
      <c r="I35" s="537"/>
      <c r="J35" s="537"/>
      <c r="K35" s="537"/>
      <c r="L35" s="537"/>
      <c r="M35" s="538"/>
      <c r="N35" s="221"/>
      <c r="O35" s="223"/>
      <c r="P35" s="223"/>
    </row>
    <row r="36" spans="2:17" ht="15.6" customHeight="1">
      <c r="B36" s="219"/>
      <c r="C36" s="222"/>
      <c r="D36" s="223"/>
      <c r="E36" s="223"/>
      <c r="F36" s="537"/>
      <c r="G36" s="537"/>
      <c r="H36" s="537"/>
      <c r="I36" s="537"/>
      <c r="J36" s="537"/>
      <c r="K36" s="537"/>
      <c r="L36" s="537"/>
      <c r="M36" s="538"/>
      <c r="N36" s="221"/>
      <c r="O36" s="223"/>
      <c r="P36" s="223"/>
    </row>
    <row r="37" spans="2:17">
      <c r="B37" s="219"/>
      <c r="C37" s="222"/>
      <c r="D37" s="223"/>
      <c r="E37" s="223"/>
      <c r="F37" s="223"/>
      <c r="G37" s="223"/>
      <c r="H37" s="223"/>
      <c r="I37" s="223"/>
      <c r="J37" s="223"/>
      <c r="K37" s="223"/>
      <c r="L37" s="223"/>
      <c r="M37" s="221"/>
      <c r="N37" s="221"/>
      <c r="O37" s="223"/>
      <c r="P37" s="223"/>
    </row>
    <row r="38" spans="2:17" ht="16.5" thickBot="1">
      <c r="B38" s="219"/>
      <c r="C38" s="236" t="s">
        <v>2764</v>
      </c>
      <c r="D38" s="237"/>
      <c r="E38" s="237"/>
      <c r="F38" s="237"/>
      <c r="G38" s="237"/>
      <c r="H38" s="237"/>
      <c r="I38" s="237"/>
      <c r="J38" s="237"/>
      <c r="K38" s="237"/>
      <c r="L38" s="237"/>
      <c r="M38" s="238"/>
      <c r="N38" s="221"/>
      <c r="O38" s="223"/>
      <c r="P38" s="223"/>
    </row>
    <row r="39" spans="2:17" ht="12" customHeight="1" thickBot="1">
      <c r="B39" s="219"/>
      <c r="C39" s="223"/>
      <c r="D39" s="223"/>
      <c r="E39" s="223"/>
      <c r="F39" s="223"/>
      <c r="G39" s="223"/>
      <c r="H39" s="223"/>
      <c r="I39" s="223"/>
      <c r="J39" s="223"/>
      <c r="K39" s="223"/>
      <c r="L39" s="223"/>
      <c r="M39" s="223"/>
      <c r="N39" s="221"/>
      <c r="O39" s="223"/>
      <c r="P39" s="223"/>
    </row>
    <row r="40" spans="2:17" ht="18.75">
      <c r="B40" s="219"/>
      <c r="C40" s="349" t="s">
        <v>2765</v>
      </c>
      <c r="D40" s="217"/>
      <c r="E40" s="217"/>
      <c r="F40" s="217"/>
      <c r="G40" s="217"/>
      <c r="H40" s="217"/>
      <c r="I40" s="217"/>
      <c r="J40" s="217"/>
      <c r="K40" s="217"/>
      <c r="L40" s="217"/>
      <c r="M40" s="218"/>
      <c r="N40" s="221"/>
      <c r="O40" s="223"/>
      <c r="P40" s="223"/>
    </row>
    <row r="41" spans="2:17">
      <c r="B41" s="219"/>
      <c r="C41" s="222" t="s">
        <v>2766</v>
      </c>
      <c r="D41" s="223"/>
      <c r="E41" s="223"/>
      <c r="F41" s="223"/>
      <c r="G41" s="223"/>
      <c r="H41" s="223"/>
      <c r="I41" s="223"/>
      <c r="J41" s="223"/>
      <c r="K41" s="223"/>
      <c r="L41" s="223"/>
      <c r="M41" s="221"/>
      <c r="N41" s="221"/>
      <c r="O41" s="223"/>
      <c r="P41" s="223"/>
    </row>
    <row r="42" spans="2:17" ht="15.75">
      <c r="B42" s="219"/>
      <c r="C42" s="224" t="s">
        <v>2799</v>
      </c>
      <c r="D42" s="223"/>
      <c r="E42" s="223"/>
      <c r="F42" s="223"/>
      <c r="G42" s="223"/>
      <c r="H42" s="223"/>
      <c r="I42" s="223"/>
      <c r="J42" s="223"/>
      <c r="K42" s="223"/>
      <c r="L42" s="223"/>
      <c r="M42" s="352">
        <f>ORCA!H700</f>
        <v>5011002.9811420012</v>
      </c>
      <c r="N42" s="221"/>
      <c r="O42" s="223"/>
      <c r="P42" s="223"/>
    </row>
    <row r="43" spans="2:17" ht="15.75">
      <c r="B43" s="219"/>
      <c r="C43" s="224" t="s">
        <v>2800</v>
      </c>
      <c r="D43" s="223"/>
      <c r="E43" s="223"/>
      <c r="F43" s="223"/>
      <c r="G43" s="223"/>
      <c r="H43" s="223"/>
      <c r="I43" s="223"/>
      <c r="J43" s="223"/>
      <c r="K43" s="223"/>
      <c r="L43" s="223"/>
      <c r="M43" s="353">
        <f>ORCA!H699</f>
        <v>24733479.670000006</v>
      </c>
      <c r="N43" s="221"/>
      <c r="O43" s="223"/>
      <c r="P43" s="223"/>
      <c r="Q43" s="530"/>
    </row>
    <row r="44" spans="2:17">
      <c r="B44" s="219" t="s">
        <v>1154</v>
      </c>
      <c r="C44" s="222"/>
      <c r="D44" s="223"/>
      <c r="E44" s="223"/>
      <c r="F44" s="223"/>
      <c r="G44" s="223"/>
      <c r="H44" s="223"/>
      <c r="I44" s="223"/>
      <c r="J44" s="223"/>
      <c r="K44" s="223"/>
      <c r="L44" s="223"/>
      <c r="M44" s="221"/>
      <c r="N44" s="221"/>
      <c r="O44" s="223"/>
      <c r="P44" s="223"/>
    </row>
    <row r="45" spans="2:17" ht="18.75">
      <c r="B45" s="219"/>
      <c r="C45" s="350" t="s">
        <v>2837</v>
      </c>
      <c r="D45" s="223"/>
      <c r="E45" s="223"/>
      <c r="F45" s="223"/>
      <c r="G45" s="223"/>
      <c r="H45" s="223"/>
      <c r="I45" s="223"/>
      <c r="J45" s="223"/>
      <c r="K45" s="223"/>
      <c r="L45" s="223"/>
      <c r="M45" s="351">
        <f>M42+M43</f>
        <v>29744482.651142009</v>
      </c>
      <c r="N45" s="221"/>
      <c r="O45" s="223"/>
      <c r="P45" s="223"/>
    </row>
    <row r="46" spans="2:17" ht="15.75" thickBot="1">
      <c r="B46" s="219"/>
      <c r="C46" s="239"/>
      <c r="D46" s="237"/>
      <c r="E46" s="237"/>
      <c r="F46" s="237"/>
      <c r="G46" s="237"/>
      <c r="H46" s="237"/>
      <c r="I46" s="237"/>
      <c r="J46" s="237"/>
      <c r="K46" s="237"/>
      <c r="L46" s="237"/>
      <c r="M46" s="238"/>
      <c r="N46" s="221"/>
      <c r="O46" s="223"/>
      <c r="P46" s="223"/>
    </row>
    <row r="47" spans="2:17" ht="8.4499999999999993" customHeight="1" thickBot="1">
      <c r="B47" s="219"/>
      <c r="C47" s="240"/>
      <c r="D47" s="223"/>
      <c r="E47" s="223"/>
      <c r="F47" s="223"/>
      <c r="G47" s="223"/>
      <c r="H47" s="223"/>
      <c r="I47" s="223"/>
      <c r="J47" s="223"/>
      <c r="K47" s="223"/>
      <c r="L47" s="223"/>
      <c r="M47" s="223"/>
      <c r="N47" s="221"/>
      <c r="O47" s="223"/>
      <c r="P47" s="223"/>
    </row>
    <row r="48" spans="2:17" ht="15.75">
      <c r="B48" s="219"/>
      <c r="C48" s="224" t="s">
        <v>2767</v>
      </c>
      <c r="D48" s="217"/>
      <c r="E48" s="217"/>
      <c r="F48" s="535" t="s">
        <v>2768</v>
      </c>
      <c r="G48" s="535"/>
      <c r="H48" s="535"/>
      <c r="I48" s="535"/>
      <c r="J48" s="535"/>
      <c r="K48" s="535"/>
      <c r="L48" s="535"/>
      <c r="M48" s="536"/>
      <c r="N48" s="221"/>
      <c r="O48" s="223"/>
      <c r="P48" s="223"/>
    </row>
    <row r="49" spans="2:16">
      <c r="B49" s="219"/>
      <c r="C49" s="222"/>
      <c r="D49" s="223"/>
      <c r="E49" s="223"/>
      <c r="F49" s="537"/>
      <c r="G49" s="537"/>
      <c r="H49" s="537"/>
      <c r="I49" s="537"/>
      <c r="J49" s="537"/>
      <c r="K49" s="537"/>
      <c r="L49" s="537"/>
      <c r="M49" s="538"/>
      <c r="N49" s="221"/>
      <c r="O49" s="223"/>
      <c r="P49" s="223"/>
    </row>
    <row r="50" spans="2:16">
      <c r="B50" s="219"/>
      <c r="C50" s="222"/>
      <c r="D50" s="223"/>
      <c r="E50" s="223"/>
      <c r="F50" s="539" t="s">
        <v>2769</v>
      </c>
      <c r="G50" s="539"/>
      <c r="H50" s="539"/>
      <c r="I50" s="539"/>
      <c r="J50" s="539"/>
      <c r="K50" s="539"/>
      <c r="L50" s="539"/>
      <c r="M50" s="540"/>
      <c r="N50" s="221"/>
      <c r="O50" s="223"/>
      <c r="P50" s="223"/>
    </row>
    <row r="51" spans="2:16">
      <c r="B51" s="219"/>
      <c r="C51" s="222"/>
      <c r="D51" s="223"/>
      <c r="E51" s="223"/>
      <c r="F51" s="539"/>
      <c r="G51" s="539"/>
      <c r="H51" s="539"/>
      <c r="I51" s="539"/>
      <c r="J51" s="539"/>
      <c r="K51" s="539"/>
      <c r="L51" s="539"/>
      <c r="M51" s="540"/>
      <c r="N51" s="221"/>
      <c r="O51" s="223"/>
      <c r="P51" s="223"/>
    </row>
    <row r="52" spans="2:16" ht="15.75" thickBot="1">
      <c r="B52" s="219"/>
      <c r="C52" s="239"/>
      <c r="D52" s="237"/>
      <c r="E52" s="237"/>
      <c r="F52" s="237"/>
      <c r="G52" s="237"/>
      <c r="H52" s="237"/>
      <c r="I52" s="237"/>
      <c r="J52" s="237"/>
      <c r="K52" s="237"/>
      <c r="L52" s="237"/>
      <c r="M52" s="238"/>
      <c r="N52" s="221"/>
      <c r="O52" s="223"/>
      <c r="P52" s="223"/>
    </row>
    <row r="53" spans="2:16" ht="13.9" customHeight="1" thickBot="1">
      <c r="B53" s="241"/>
      <c r="C53" s="237"/>
      <c r="D53" s="237"/>
      <c r="E53" s="237"/>
      <c r="F53" s="237"/>
      <c r="G53" s="237"/>
      <c r="H53" s="237"/>
      <c r="I53" s="237"/>
      <c r="J53" s="237"/>
      <c r="K53" s="237"/>
      <c r="L53" s="237"/>
      <c r="M53" s="237"/>
      <c r="N53" s="238"/>
      <c r="O53" s="223"/>
      <c r="P53" s="223"/>
    </row>
    <row r="54" spans="2:16" s="235" customFormat="1" ht="15" customHeight="1">
      <c r="C54" s="272"/>
      <c r="D54" s="272"/>
      <c r="E54" s="272"/>
      <c r="F54" s="272"/>
      <c r="G54" s="272"/>
      <c r="H54" s="223"/>
      <c r="I54" s="223"/>
      <c r="J54" s="223"/>
      <c r="K54" s="223"/>
      <c r="L54" s="223"/>
      <c r="M54" s="223"/>
      <c r="N54" s="223"/>
      <c r="O54" s="223"/>
      <c r="P54" s="223"/>
    </row>
    <row r="55" spans="2:16" s="235" customFormat="1" ht="15" customHeight="1">
      <c r="C55" s="272"/>
      <c r="D55" s="272"/>
      <c r="E55" s="272"/>
      <c r="F55" s="272"/>
      <c r="G55" s="272"/>
      <c r="H55" s="223"/>
      <c r="I55" s="223"/>
      <c r="J55" s="223"/>
      <c r="K55" s="223"/>
      <c r="L55" s="223"/>
      <c r="M55" s="223"/>
      <c r="N55" s="223"/>
      <c r="O55" s="223"/>
      <c r="P55" s="223"/>
    </row>
    <row r="56" spans="2:16" s="235" customFormat="1" ht="15" customHeight="1">
      <c r="C56" s="273"/>
      <c r="D56" s="273"/>
      <c r="E56" s="273"/>
      <c r="F56" s="273"/>
      <c r="G56" s="273"/>
      <c r="H56" s="273"/>
      <c r="I56" s="273"/>
      <c r="J56" s="223"/>
      <c r="K56" s="223"/>
      <c r="L56" s="223"/>
      <c r="M56" s="223"/>
      <c r="N56" s="223"/>
      <c r="O56" s="223"/>
      <c r="P56" s="223"/>
    </row>
    <row r="57" spans="2:16" s="235" customFormat="1" ht="15" customHeight="1">
      <c r="C57" s="273"/>
      <c r="D57" s="273"/>
      <c r="E57" s="273"/>
      <c r="F57" s="273"/>
      <c r="G57" s="273"/>
      <c r="H57" s="273"/>
      <c r="I57" s="273"/>
      <c r="J57" s="223"/>
      <c r="K57" s="223"/>
      <c r="L57" s="223"/>
      <c r="M57" s="223"/>
      <c r="N57" s="223"/>
      <c r="O57" s="223"/>
      <c r="P57" s="223"/>
    </row>
    <row r="58" spans="2:16" s="235" customFormat="1" ht="15" customHeight="1">
      <c r="C58" s="273"/>
      <c r="D58" s="273"/>
      <c r="E58" s="273"/>
      <c r="F58" s="273"/>
      <c r="G58" s="273"/>
      <c r="H58" s="273"/>
      <c r="I58" s="273"/>
      <c r="J58" s="223"/>
      <c r="K58" s="223"/>
      <c r="L58" s="223"/>
      <c r="M58" s="223"/>
      <c r="N58" s="223"/>
      <c r="O58" s="223"/>
      <c r="P58" s="223"/>
    </row>
    <row r="59" spans="2:16" s="235" customFormat="1" ht="15" customHeight="1">
      <c r="C59" s="273"/>
      <c r="D59" s="273"/>
      <c r="E59" s="273"/>
      <c r="F59" s="273"/>
      <c r="G59" s="273"/>
      <c r="H59" s="273"/>
      <c r="I59" s="273"/>
      <c r="J59" s="223"/>
      <c r="K59" s="223"/>
      <c r="L59" s="223"/>
      <c r="M59" s="223"/>
      <c r="N59" s="223"/>
      <c r="O59" s="223"/>
      <c r="P59" s="223"/>
    </row>
    <row r="60" spans="2:16" s="235" customFormat="1" ht="15" customHeight="1">
      <c r="C60" s="273"/>
      <c r="D60" s="273"/>
      <c r="E60" s="273"/>
      <c r="F60" s="273"/>
      <c r="G60" s="273"/>
      <c r="H60" s="273"/>
      <c r="I60" s="273"/>
      <c r="J60" s="223"/>
      <c r="K60" s="223"/>
      <c r="L60" s="223"/>
      <c r="N60" s="223"/>
      <c r="O60" s="223"/>
      <c r="P60" s="223"/>
    </row>
    <row r="61" spans="2:16" s="235" customFormat="1" ht="15" customHeight="1">
      <c r="C61" s="273"/>
      <c r="D61" s="273"/>
      <c r="E61" s="273"/>
      <c r="F61" s="273"/>
      <c r="G61" s="273"/>
      <c r="H61" s="273"/>
      <c r="I61" s="273"/>
      <c r="J61" s="223"/>
      <c r="K61" s="223"/>
      <c r="L61" s="223"/>
      <c r="M61" s="223"/>
      <c r="N61" s="223"/>
      <c r="O61" s="223"/>
      <c r="P61" s="223"/>
    </row>
    <row r="62" spans="2:16" s="235" customFormat="1" ht="15" customHeight="1">
      <c r="C62" s="223"/>
      <c r="D62" s="223"/>
      <c r="E62" s="223"/>
      <c r="F62" s="223"/>
      <c r="G62" s="274"/>
      <c r="H62" s="274"/>
      <c r="I62" s="274"/>
      <c r="J62" s="274"/>
      <c r="K62" s="274"/>
      <c r="L62" s="274"/>
      <c r="M62" s="274"/>
      <c r="N62" s="223"/>
      <c r="O62" s="223"/>
      <c r="P62" s="223"/>
    </row>
    <row r="63" spans="2:16" s="235" customFormat="1" ht="15" customHeight="1">
      <c r="C63" s="223"/>
      <c r="D63" s="223"/>
      <c r="E63" s="223"/>
      <c r="F63" s="223"/>
      <c r="G63" s="274"/>
      <c r="H63" s="274"/>
      <c r="I63" s="274"/>
      <c r="J63" s="274"/>
      <c r="K63" s="274"/>
      <c r="L63" s="274"/>
      <c r="M63" s="274"/>
      <c r="N63" s="223"/>
      <c r="O63" s="223"/>
      <c r="P63" s="223"/>
    </row>
    <row r="64" spans="2:16" s="235" customFormat="1" ht="15" customHeight="1">
      <c r="C64" s="223"/>
      <c r="D64" s="223"/>
      <c r="E64" s="223"/>
      <c r="F64" s="223"/>
      <c r="G64" s="274"/>
      <c r="H64" s="274"/>
      <c r="I64" s="274"/>
      <c r="J64" s="274"/>
      <c r="K64" s="274"/>
      <c r="L64" s="274"/>
      <c r="M64" s="274"/>
      <c r="N64" s="223"/>
      <c r="O64" s="223"/>
      <c r="P64" s="223"/>
    </row>
    <row r="65" spans="3:16" s="235" customFormat="1" ht="15" customHeight="1">
      <c r="C65" s="223"/>
      <c r="D65" s="223"/>
      <c r="E65" s="223"/>
      <c r="F65" s="223"/>
      <c r="G65" s="274"/>
      <c r="H65" s="274"/>
      <c r="I65" s="274"/>
      <c r="J65" s="274"/>
      <c r="K65" s="274"/>
      <c r="L65" s="274"/>
      <c r="M65" s="274"/>
      <c r="N65" s="223"/>
      <c r="O65" s="223"/>
      <c r="P65" s="223"/>
    </row>
    <row r="66" spans="3:16" s="235" customFormat="1" ht="15" customHeight="1">
      <c r="C66" s="223"/>
      <c r="D66" s="223"/>
      <c r="E66" s="223"/>
      <c r="F66" s="223"/>
      <c r="G66" s="274"/>
      <c r="H66" s="274"/>
      <c r="I66" s="274"/>
      <c r="J66" s="274"/>
      <c r="K66" s="274"/>
      <c r="L66" s="274"/>
      <c r="M66" s="274"/>
      <c r="N66" s="223"/>
      <c r="O66" s="223"/>
      <c r="P66" s="223"/>
    </row>
    <row r="67" spans="3:16" s="235" customFormat="1" ht="15" customHeight="1">
      <c r="C67" s="223"/>
      <c r="D67" s="223"/>
      <c r="E67" s="223"/>
      <c r="F67" s="223"/>
      <c r="G67" s="274"/>
      <c r="H67" s="274"/>
      <c r="I67" s="274"/>
      <c r="J67" s="274"/>
      <c r="K67" s="274"/>
      <c r="L67" s="274"/>
      <c r="M67" s="274"/>
      <c r="N67" s="223"/>
      <c r="O67" s="223"/>
      <c r="P67" s="223"/>
    </row>
    <row r="68" spans="3:16" s="235" customFormat="1" ht="15" customHeight="1">
      <c r="C68" s="223"/>
      <c r="D68" s="223"/>
      <c r="E68" s="223"/>
      <c r="F68" s="223"/>
      <c r="G68" s="274"/>
      <c r="H68" s="274"/>
      <c r="I68" s="274"/>
      <c r="J68" s="274"/>
      <c r="K68" s="274"/>
      <c r="L68" s="274"/>
      <c r="M68" s="274"/>
      <c r="N68" s="223"/>
      <c r="O68" s="223"/>
      <c r="P68" s="223"/>
    </row>
    <row r="69" spans="3:16" s="235" customFormat="1">
      <c r="C69" s="223"/>
      <c r="D69" s="223"/>
      <c r="E69" s="223"/>
      <c r="F69" s="223"/>
      <c r="G69" s="223"/>
      <c r="H69" s="223"/>
      <c r="I69" s="223"/>
      <c r="J69" s="223"/>
      <c r="K69" s="223"/>
      <c r="L69" s="223"/>
      <c r="M69" s="223"/>
      <c r="N69" s="223"/>
      <c r="O69" s="223"/>
      <c r="P69" s="223"/>
    </row>
    <row r="70" spans="3:16" s="235" customFormat="1">
      <c r="C70" s="223"/>
      <c r="D70" s="223"/>
      <c r="E70" s="223"/>
      <c r="F70" s="223"/>
      <c r="G70" s="223"/>
      <c r="H70" s="223"/>
      <c r="I70" s="223"/>
      <c r="J70" s="223"/>
      <c r="K70" s="223"/>
      <c r="L70" s="223"/>
      <c r="M70" s="223"/>
      <c r="N70" s="223"/>
      <c r="O70" s="223"/>
      <c r="P70" s="223"/>
    </row>
    <row r="71" spans="3:16" s="235" customFormat="1">
      <c r="C71" s="223"/>
      <c r="D71" s="223"/>
      <c r="E71" s="223"/>
      <c r="F71" s="223"/>
      <c r="G71" s="223"/>
      <c r="H71" s="223"/>
      <c r="I71" s="223"/>
      <c r="J71" s="223"/>
      <c r="K71" s="223"/>
      <c r="L71" s="223"/>
      <c r="M71" s="223"/>
      <c r="N71" s="223"/>
      <c r="O71" s="223"/>
      <c r="P71" s="223"/>
    </row>
    <row r="72" spans="3:16" s="235" customFormat="1">
      <c r="C72" s="223"/>
      <c r="D72" s="223"/>
      <c r="E72" s="223"/>
      <c r="F72" s="223"/>
      <c r="G72" s="223"/>
      <c r="H72" s="223"/>
      <c r="I72" s="223"/>
      <c r="J72" s="223"/>
      <c r="K72" s="223"/>
      <c r="L72" s="223"/>
      <c r="M72" s="223"/>
      <c r="N72" s="223"/>
      <c r="O72" s="223"/>
      <c r="P72" s="223"/>
    </row>
    <row r="73" spans="3:16" s="235" customFormat="1">
      <c r="C73" s="223"/>
      <c r="D73" s="223"/>
      <c r="E73" s="223"/>
      <c r="F73" s="223"/>
      <c r="G73" s="223"/>
      <c r="H73" s="223"/>
      <c r="I73" s="223"/>
      <c r="J73" s="223"/>
      <c r="K73" s="223"/>
      <c r="L73" s="223"/>
      <c r="M73" s="223"/>
      <c r="N73" s="223"/>
      <c r="O73" s="223"/>
      <c r="P73" s="223"/>
    </row>
    <row r="74" spans="3:16" s="235" customFormat="1">
      <c r="C74" s="223"/>
      <c r="D74" s="223"/>
      <c r="E74" s="223"/>
      <c r="F74" s="223"/>
      <c r="G74" s="223"/>
      <c r="H74" s="223"/>
      <c r="I74" s="223"/>
      <c r="J74" s="223"/>
      <c r="K74" s="223"/>
      <c r="L74" s="223"/>
      <c r="M74" s="223"/>
      <c r="N74" s="223"/>
      <c r="O74" s="223"/>
      <c r="P74" s="223"/>
    </row>
    <row r="75" spans="3:16" s="235" customFormat="1">
      <c r="C75" s="223"/>
      <c r="D75" s="223"/>
      <c r="E75" s="223"/>
      <c r="F75" s="223"/>
      <c r="G75" s="223"/>
      <c r="H75" s="223"/>
      <c r="I75" s="223"/>
      <c r="J75" s="223"/>
      <c r="K75" s="223"/>
      <c r="L75" s="223"/>
      <c r="M75" s="223"/>
      <c r="N75" s="223"/>
      <c r="O75" s="223"/>
      <c r="P75" s="223"/>
    </row>
    <row r="76" spans="3:16" s="235" customFormat="1">
      <c r="C76" s="223"/>
      <c r="D76" s="223"/>
      <c r="E76" s="223"/>
      <c r="F76" s="223"/>
      <c r="G76" s="223"/>
      <c r="H76" s="223"/>
      <c r="I76" s="223"/>
      <c r="J76" s="223"/>
      <c r="K76" s="223"/>
      <c r="L76" s="223"/>
      <c r="M76" s="223"/>
      <c r="N76" s="223"/>
      <c r="O76" s="223"/>
      <c r="P76" s="223"/>
    </row>
    <row r="77" spans="3:16" s="235" customFormat="1">
      <c r="C77" s="223"/>
      <c r="D77" s="223"/>
      <c r="E77" s="223"/>
      <c r="F77" s="223"/>
      <c r="G77" s="223"/>
      <c r="H77" s="223"/>
      <c r="I77" s="223"/>
      <c r="J77" s="223"/>
      <c r="K77" s="223"/>
      <c r="L77" s="223"/>
      <c r="M77" s="223"/>
      <c r="N77" s="223"/>
      <c r="O77" s="223"/>
      <c r="P77" s="223"/>
    </row>
    <row r="78" spans="3:16" s="235" customFormat="1">
      <c r="C78" s="223"/>
      <c r="D78" s="223"/>
      <c r="E78" s="223"/>
      <c r="F78" s="223"/>
      <c r="G78" s="223"/>
      <c r="H78" s="223"/>
      <c r="I78" s="223"/>
      <c r="J78" s="223"/>
      <c r="K78" s="223"/>
      <c r="L78" s="223"/>
      <c r="M78" s="223"/>
      <c r="N78" s="223"/>
      <c r="O78" s="223"/>
      <c r="P78" s="223"/>
    </row>
    <row r="79" spans="3:16" s="235" customFormat="1">
      <c r="C79" s="223"/>
      <c r="D79" s="223"/>
      <c r="E79" s="223"/>
      <c r="F79" s="223"/>
      <c r="G79" s="223"/>
      <c r="H79" s="223"/>
      <c r="I79" s="223"/>
      <c r="J79" s="223"/>
      <c r="K79" s="223"/>
      <c r="L79" s="223"/>
      <c r="M79" s="223"/>
      <c r="N79" s="223"/>
      <c r="O79" s="223"/>
      <c r="P79" s="223"/>
    </row>
    <row r="80" spans="3:16" s="235" customFormat="1">
      <c r="C80" s="223"/>
      <c r="D80" s="223"/>
      <c r="E80" s="223"/>
      <c r="F80" s="223"/>
      <c r="G80" s="223"/>
      <c r="H80" s="223"/>
      <c r="I80" s="223"/>
      <c r="J80" s="223"/>
      <c r="K80" s="223"/>
      <c r="L80" s="223"/>
      <c r="M80" s="223"/>
      <c r="N80" s="223"/>
      <c r="O80" s="223"/>
      <c r="P80" s="223"/>
    </row>
    <row r="81" spans="3:16" s="235" customFormat="1">
      <c r="C81" s="223"/>
      <c r="D81" s="223"/>
      <c r="E81" s="223"/>
      <c r="F81" s="223"/>
      <c r="G81" s="223"/>
      <c r="H81" s="223"/>
      <c r="I81" s="223"/>
      <c r="J81" s="223"/>
      <c r="K81" s="223"/>
      <c r="L81" s="223"/>
      <c r="M81" s="223"/>
      <c r="N81" s="223"/>
      <c r="O81" s="223"/>
      <c r="P81" s="223"/>
    </row>
    <row r="82" spans="3:16" s="235" customFormat="1">
      <c r="C82" s="223"/>
      <c r="D82" s="223"/>
      <c r="E82" s="223"/>
      <c r="F82" s="223"/>
      <c r="G82" s="223"/>
      <c r="H82" s="223"/>
      <c r="I82" s="223"/>
      <c r="J82" s="223"/>
      <c r="K82" s="223"/>
      <c r="L82" s="223"/>
      <c r="M82" s="223"/>
      <c r="N82" s="223"/>
      <c r="O82" s="223"/>
      <c r="P82" s="223"/>
    </row>
    <row r="83" spans="3:16" s="235" customFormat="1">
      <c r="C83" s="223"/>
      <c r="D83" s="223"/>
      <c r="E83" s="223"/>
      <c r="F83" s="223"/>
      <c r="G83" s="223"/>
      <c r="H83" s="223"/>
      <c r="I83" s="223"/>
      <c r="J83" s="223"/>
      <c r="K83" s="223"/>
      <c r="L83" s="223"/>
      <c r="M83" s="223"/>
      <c r="N83" s="223"/>
      <c r="O83" s="223"/>
      <c r="P83" s="223"/>
    </row>
    <row r="84" spans="3:16" s="235" customFormat="1">
      <c r="C84" s="223"/>
      <c r="D84" s="223"/>
      <c r="E84" s="223"/>
      <c r="F84" s="223"/>
      <c r="G84" s="223"/>
      <c r="H84" s="223"/>
      <c r="I84" s="223"/>
      <c r="J84" s="223"/>
      <c r="K84" s="223"/>
      <c r="L84" s="223"/>
      <c r="M84" s="223"/>
      <c r="N84" s="223"/>
      <c r="O84" s="223"/>
      <c r="P84" s="223"/>
    </row>
    <row r="85" spans="3:16" s="235" customFormat="1">
      <c r="C85" s="223"/>
      <c r="D85" s="223"/>
      <c r="E85" s="223"/>
      <c r="F85" s="223"/>
      <c r="G85" s="223"/>
      <c r="H85" s="223"/>
      <c r="I85" s="223"/>
      <c r="J85" s="223"/>
      <c r="K85" s="223"/>
      <c r="L85" s="223"/>
      <c r="M85" s="223"/>
      <c r="N85" s="223"/>
      <c r="O85" s="223"/>
      <c r="P85" s="223"/>
    </row>
    <row r="86" spans="3:16" s="235" customFormat="1">
      <c r="C86" s="223"/>
      <c r="D86" s="223"/>
      <c r="E86" s="223"/>
      <c r="F86" s="223"/>
      <c r="G86" s="223"/>
      <c r="H86" s="223"/>
      <c r="I86" s="223"/>
      <c r="J86" s="223"/>
      <c r="K86" s="223"/>
      <c r="L86" s="223"/>
      <c r="M86" s="223"/>
      <c r="N86" s="223"/>
      <c r="O86" s="223"/>
      <c r="P86" s="223"/>
    </row>
    <row r="87" spans="3:16" s="235" customFormat="1">
      <c r="C87" s="223"/>
      <c r="D87" s="223"/>
      <c r="E87" s="223"/>
      <c r="F87" s="223"/>
      <c r="G87" s="223"/>
      <c r="H87" s="223"/>
      <c r="I87" s="223"/>
      <c r="J87" s="223"/>
      <c r="K87" s="223"/>
      <c r="L87" s="223"/>
      <c r="M87" s="223"/>
      <c r="N87" s="223"/>
      <c r="O87" s="223"/>
      <c r="P87" s="223"/>
    </row>
    <row r="88" spans="3:16" s="235" customFormat="1">
      <c r="C88" s="223"/>
      <c r="D88" s="223"/>
      <c r="E88" s="223"/>
      <c r="F88" s="223"/>
      <c r="G88" s="223"/>
      <c r="H88" s="223"/>
      <c r="I88" s="223"/>
      <c r="J88" s="223"/>
      <c r="K88" s="223"/>
      <c r="L88" s="223"/>
      <c r="M88" s="223"/>
      <c r="N88" s="223"/>
      <c r="O88" s="223"/>
      <c r="P88" s="223"/>
    </row>
    <row r="89" spans="3:16" s="235" customFormat="1">
      <c r="C89" s="223"/>
      <c r="D89" s="223"/>
      <c r="E89" s="223"/>
      <c r="F89" s="223"/>
      <c r="G89" s="223"/>
      <c r="H89" s="223"/>
      <c r="I89" s="223"/>
      <c r="J89" s="223"/>
      <c r="K89" s="223"/>
      <c r="L89" s="223"/>
      <c r="M89" s="223"/>
      <c r="N89" s="223"/>
      <c r="O89" s="223"/>
      <c r="P89" s="223"/>
    </row>
    <row r="90" spans="3:16" s="235" customFormat="1">
      <c r="C90" s="223"/>
      <c r="D90" s="223"/>
      <c r="E90" s="223"/>
      <c r="F90" s="223"/>
      <c r="G90" s="223"/>
      <c r="H90" s="223"/>
      <c r="I90" s="223"/>
      <c r="J90" s="223"/>
      <c r="K90" s="223"/>
      <c r="L90" s="223"/>
      <c r="M90" s="223"/>
      <c r="N90" s="223"/>
      <c r="O90" s="223"/>
      <c r="P90" s="223"/>
    </row>
    <row r="91" spans="3:16" s="235" customFormat="1">
      <c r="C91" s="223"/>
      <c r="D91" s="223"/>
      <c r="E91" s="223"/>
      <c r="F91" s="223"/>
      <c r="G91" s="223"/>
      <c r="H91" s="223"/>
      <c r="I91" s="223"/>
      <c r="J91" s="223"/>
      <c r="K91" s="223"/>
      <c r="L91" s="223"/>
      <c r="M91" s="223"/>
      <c r="N91" s="223"/>
      <c r="O91" s="223"/>
      <c r="P91" s="223"/>
    </row>
    <row r="92" spans="3:16" s="235" customFormat="1">
      <c r="C92" s="223"/>
      <c r="D92" s="223"/>
      <c r="E92" s="223"/>
      <c r="F92" s="223"/>
      <c r="G92" s="223"/>
      <c r="H92" s="223"/>
      <c r="I92" s="223"/>
      <c r="J92" s="223"/>
      <c r="K92" s="223"/>
      <c r="L92" s="223"/>
      <c r="M92" s="223"/>
      <c r="N92" s="223"/>
      <c r="O92" s="223"/>
      <c r="P92" s="223"/>
    </row>
    <row r="93" spans="3:16" s="235" customFormat="1">
      <c r="C93" s="223"/>
      <c r="D93" s="223"/>
      <c r="E93" s="223"/>
      <c r="F93" s="223"/>
      <c r="G93" s="223"/>
      <c r="H93" s="223"/>
      <c r="I93" s="223"/>
      <c r="J93" s="223"/>
      <c r="K93" s="223"/>
      <c r="L93" s="223"/>
      <c r="M93" s="223"/>
      <c r="N93" s="223"/>
      <c r="O93" s="223"/>
      <c r="P93" s="223"/>
    </row>
    <row r="94" spans="3:16" s="235" customFormat="1">
      <c r="C94" s="223"/>
      <c r="D94" s="223"/>
      <c r="E94" s="223"/>
      <c r="F94" s="223"/>
      <c r="G94" s="223"/>
      <c r="H94" s="223"/>
      <c r="I94" s="223"/>
      <c r="J94" s="223"/>
      <c r="K94" s="223"/>
      <c r="L94" s="223"/>
      <c r="M94" s="223"/>
      <c r="N94" s="223"/>
      <c r="O94" s="223"/>
      <c r="P94" s="223"/>
    </row>
    <row r="95" spans="3:16" s="235" customFormat="1">
      <c r="C95" s="223"/>
      <c r="D95" s="223"/>
      <c r="E95" s="223"/>
      <c r="F95" s="223"/>
      <c r="G95" s="223"/>
      <c r="H95" s="223"/>
      <c r="I95" s="223"/>
      <c r="J95" s="223"/>
      <c r="K95" s="223"/>
      <c r="L95" s="223"/>
      <c r="M95" s="223"/>
      <c r="N95" s="223"/>
      <c r="O95" s="223"/>
      <c r="P95" s="223"/>
    </row>
    <row r="96" spans="3:16" s="235" customFormat="1">
      <c r="C96" s="223"/>
      <c r="D96" s="223"/>
      <c r="E96" s="223"/>
      <c r="F96" s="223"/>
      <c r="G96" s="223"/>
      <c r="H96" s="223"/>
      <c r="I96" s="223"/>
      <c r="J96" s="223"/>
      <c r="K96" s="223"/>
      <c r="L96" s="223"/>
      <c r="M96" s="223"/>
      <c r="N96" s="223"/>
      <c r="O96" s="223"/>
      <c r="P96" s="223"/>
    </row>
    <row r="97" spans="3:16" s="235" customFormat="1">
      <c r="C97" s="223"/>
      <c r="D97" s="223"/>
      <c r="E97" s="223"/>
      <c r="F97" s="223"/>
      <c r="G97" s="223"/>
      <c r="H97" s="223"/>
      <c r="I97" s="223"/>
      <c r="J97" s="223"/>
      <c r="K97" s="223"/>
      <c r="L97" s="223"/>
      <c r="M97" s="223"/>
      <c r="N97" s="223"/>
      <c r="O97" s="223"/>
      <c r="P97" s="223"/>
    </row>
    <row r="98" spans="3:16" s="235" customFormat="1">
      <c r="C98" s="223"/>
      <c r="D98" s="223"/>
      <c r="E98" s="223"/>
      <c r="F98" s="223"/>
      <c r="G98" s="223"/>
      <c r="H98" s="223"/>
      <c r="I98" s="223"/>
      <c r="J98" s="223"/>
      <c r="K98" s="223"/>
      <c r="L98" s="223"/>
      <c r="M98" s="223"/>
      <c r="N98" s="223"/>
      <c r="O98" s="223"/>
      <c r="P98" s="223"/>
    </row>
    <row r="99" spans="3:16" s="235" customFormat="1">
      <c r="C99" s="223"/>
      <c r="D99" s="223"/>
      <c r="E99" s="223"/>
      <c r="F99" s="223"/>
      <c r="G99" s="223"/>
      <c r="H99" s="223"/>
      <c r="I99" s="223"/>
      <c r="J99" s="223"/>
      <c r="K99" s="223"/>
      <c r="L99" s="223"/>
      <c r="M99" s="223"/>
      <c r="N99" s="223"/>
      <c r="O99" s="223"/>
      <c r="P99" s="223"/>
    </row>
    <row r="100" spans="3:16" s="235" customFormat="1">
      <c r="C100" s="223"/>
      <c r="D100" s="223"/>
      <c r="E100" s="223"/>
      <c r="F100" s="223"/>
      <c r="G100" s="223"/>
      <c r="H100" s="223"/>
      <c r="I100" s="223"/>
      <c r="J100" s="223"/>
      <c r="K100" s="223"/>
      <c r="L100" s="223"/>
      <c r="M100" s="223"/>
      <c r="N100" s="223"/>
      <c r="O100" s="223"/>
      <c r="P100" s="223"/>
    </row>
    <row r="101" spans="3:16" s="235" customFormat="1">
      <c r="C101" s="223"/>
      <c r="D101" s="223"/>
      <c r="E101" s="223"/>
      <c r="F101" s="223"/>
      <c r="G101" s="223"/>
      <c r="H101" s="223"/>
      <c r="I101" s="223"/>
      <c r="J101" s="223"/>
      <c r="K101" s="223"/>
      <c r="L101" s="223"/>
      <c r="M101" s="223"/>
      <c r="N101" s="223"/>
      <c r="O101" s="223"/>
      <c r="P101" s="223"/>
    </row>
    <row r="102" spans="3:16" s="235" customFormat="1">
      <c r="C102" s="223"/>
      <c r="D102" s="223"/>
      <c r="E102" s="223"/>
      <c r="F102" s="223"/>
      <c r="G102" s="223"/>
      <c r="H102" s="223"/>
      <c r="I102" s="223"/>
      <c r="J102" s="223"/>
      <c r="K102" s="223"/>
      <c r="L102" s="223"/>
      <c r="M102" s="223"/>
      <c r="N102" s="223"/>
      <c r="O102" s="223"/>
      <c r="P102" s="223"/>
    </row>
    <row r="103" spans="3:16" s="235" customFormat="1">
      <c r="C103" s="223"/>
      <c r="D103" s="223"/>
      <c r="E103" s="223"/>
      <c r="F103" s="223"/>
      <c r="G103" s="223"/>
      <c r="H103" s="223"/>
      <c r="I103" s="223"/>
      <c r="J103" s="223"/>
      <c r="K103" s="223"/>
      <c r="L103" s="223"/>
      <c r="M103" s="223"/>
      <c r="N103" s="223"/>
      <c r="O103" s="223"/>
      <c r="P103" s="223"/>
    </row>
    <row r="104" spans="3:16" s="235" customFormat="1">
      <c r="C104" s="223"/>
      <c r="D104" s="223"/>
      <c r="E104" s="223"/>
      <c r="F104" s="223"/>
      <c r="G104" s="223"/>
      <c r="H104" s="223"/>
      <c r="I104" s="223"/>
      <c r="J104" s="223"/>
      <c r="K104" s="223"/>
      <c r="L104" s="223"/>
      <c r="M104" s="223"/>
      <c r="N104" s="223"/>
      <c r="O104" s="223"/>
      <c r="P104" s="223"/>
    </row>
    <row r="105" spans="3:16" s="235" customFormat="1">
      <c r="C105" s="223"/>
      <c r="D105" s="223"/>
      <c r="E105" s="223"/>
      <c r="F105" s="223"/>
      <c r="G105" s="223"/>
      <c r="H105" s="223"/>
      <c r="I105" s="223"/>
      <c r="J105" s="223"/>
      <c r="K105" s="223"/>
      <c r="L105" s="223"/>
      <c r="M105" s="223"/>
      <c r="N105" s="223"/>
      <c r="O105" s="223"/>
      <c r="P105" s="223"/>
    </row>
    <row r="106" spans="3:16" s="235" customFormat="1">
      <c r="C106" s="223"/>
      <c r="D106" s="223"/>
      <c r="E106" s="223"/>
      <c r="F106" s="223"/>
      <c r="G106" s="223"/>
      <c r="H106" s="223"/>
      <c r="I106" s="223"/>
      <c r="J106" s="223"/>
      <c r="K106" s="223"/>
      <c r="L106" s="223"/>
      <c r="M106" s="223"/>
      <c r="N106" s="223"/>
      <c r="O106" s="223"/>
      <c r="P106" s="223"/>
    </row>
    <row r="107" spans="3:16" s="235" customFormat="1">
      <c r="C107" s="223"/>
      <c r="D107" s="223"/>
      <c r="E107" s="223"/>
      <c r="F107" s="223"/>
      <c r="G107" s="223"/>
      <c r="H107" s="223"/>
      <c r="I107" s="223"/>
      <c r="J107" s="223"/>
      <c r="K107" s="223"/>
      <c r="L107" s="223"/>
      <c r="M107" s="223"/>
      <c r="N107" s="223"/>
      <c r="O107" s="223"/>
      <c r="P107" s="223"/>
    </row>
    <row r="108" spans="3:16" s="235" customFormat="1">
      <c r="C108" s="223"/>
      <c r="D108" s="223"/>
      <c r="E108" s="223"/>
      <c r="F108" s="223"/>
      <c r="G108" s="223"/>
      <c r="H108" s="223"/>
      <c r="I108" s="223"/>
      <c r="J108" s="223"/>
      <c r="K108" s="223"/>
      <c r="L108" s="223"/>
      <c r="M108" s="223"/>
      <c r="N108" s="223"/>
      <c r="O108" s="223"/>
      <c r="P108" s="223"/>
    </row>
    <row r="109" spans="3:16" s="235" customFormat="1">
      <c r="C109" s="223"/>
      <c r="D109" s="223"/>
      <c r="E109" s="223"/>
      <c r="F109" s="223"/>
      <c r="G109" s="223"/>
      <c r="H109" s="223"/>
      <c r="I109" s="223"/>
      <c r="J109" s="223"/>
      <c r="K109" s="223"/>
      <c r="L109" s="223"/>
      <c r="M109" s="223"/>
      <c r="N109" s="223"/>
      <c r="O109" s="223"/>
      <c r="P109" s="223"/>
    </row>
    <row r="110" spans="3:16" s="235" customFormat="1">
      <c r="C110" s="223"/>
      <c r="D110" s="223"/>
      <c r="E110" s="223"/>
      <c r="F110" s="223"/>
      <c r="G110" s="223"/>
      <c r="H110" s="223"/>
      <c r="I110" s="223"/>
      <c r="J110" s="223"/>
      <c r="K110" s="223"/>
      <c r="L110" s="223"/>
      <c r="M110" s="223"/>
      <c r="N110" s="223"/>
      <c r="O110" s="223"/>
      <c r="P110" s="223"/>
    </row>
    <row r="111" spans="3:16" s="235" customFormat="1">
      <c r="C111" s="223"/>
      <c r="D111" s="223"/>
      <c r="E111" s="223"/>
      <c r="F111" s="223"/>
      <c r="G111" s="223"/>
      <c r="H111" s="223"/>
      <c r="I111" s="223"/>
      <c r="J111" s="223"/>
      <c r="K111" s="223"/>
      <c r="L111" s="223"/>
      <c r="M111" s="223"/>
      <c r="N111" s="223"/>
      <c r="O111" s="223"/>
      <c r="P111" s="223"/>
    </row>
    <row r="112" spans="3:16" s="235" customFormat="1">
      <c r="C112" s="223"/>
      <c r="D112" s="223"/>
      <c r="E112" s="223"/>
      <c r="F112" s="223"/>
      <c r="G112" s="223"/>
      <c r="H112" s="223"/>
      <c r="I112" s="223"/>
      <c r="J112" s="223"/>
      <c r="K112" s="223"/>
      <c r="L112" s="223"/>
      <c r="M112" s="223"/>
      <c r="N112" s="223"/>
      <c r="O112" s="223"/>
      <c r="P112" s="223"/>
    </row>
    <row r="113" spans="3:16" s="235" customFormat="1">
      <c r="C113" s="223"/>
      <c r="D113" s="223"/>
      <c r="E113" s="223"/>
      <c r="F113" s="223"/>
      <c r="G113" s="223"/>
      <c r="H113" s="223"/>
      <c r="I113" s="223"/>
      <c r="J113" s="223"/>
      <c r="K113" s="223"/>
      <c r="L113" s="223"/>
      <c r="M113" s="223"/>
      <c r="N113" s="223"/>
      <c r="O113" s="223"/>
      <c r="P113" s="223"/>
    </row>
    <row r="114" spans="3:16" s="235" customFormat="1">
      <c r="C114" s="223"/>
      <c r="D114" s="223"/>
      <c r="E114" s="223"/>
      <c r="F114" s="223"/>
      <c r="G114" s="223"/>
      <c r="H114" s="223"/>
      <c r="I114" s="223"/>
      <c r="J114" s="223"/>
      <c r="K114" s="223"/>
      <c r="L114" s="223"/>
      <c r="M114" s="223"/>
      <c r="N114" s="223"/>
      <c r="O114" s="223"/>
      <c r="P114" s="223"/>
    </row>
    <row r="115" spans="3:16" s="235" customFormat="1">
      <c r="C115" s="223"/>
      <c r="D115" s="223"/>
      <c r="E115" s="223"/>
      <c r="F115" s="223"/>
      <c r="G115" s="223"/>
      <c r="H115" s="223"/>
      <c r="I115" s="223"/>
      <c r="J115" s="223"/>
      <c r="K115" s="223"/>
      <c r="L115" s="223"/>
      <c r="M115" s="223"/>
      <c r="N115" s="223"/>
      <c r="O115" s="223"/>
      <c r="P115" s="223"/>
    </row>
    <row r="116" spans="3:16" s="235" customFormat="1">
      <c r="C116" s="223"/>
      <c r="D116" s="223"/>
      <c r="E116" s="223"/>
      <c r="F116" s="223"/>
      <c r="G116" s="223"/>
      <c r="H116" s="223"/>
      <c r="I116" s="223"/>
      <c r="J116" s="223"/>
      <c r="K116" s="223"/>
      <c r="L116" s="223"/>
      <c r="M116" s="223"/>
      <c r="N116" s="223"/>
      <c r="O116" s="223"/>
      <c r="P116" s="223"/>
    </row>
    <row r="117" spans="3:16" s="235" customFormat="1">
      <c r="C117" s="223"/>
      <c r="D117" s="223"/>
      <c r="E117" s="223"/>
      <c r="F117" s="223"/>
      <c r="G117" s="223"/>
      <c r="H117" s="223"/>
      <c r="I117" s="223"/>
      <c r="J117" s="223"/>
      <c r="K117" s="223"/>
      <c r="L117" s="223"/>
      <c r="M117" s="223"/>
      <c r="N117" s="223"/>
      <c r="O117" s="223"/>
      <c r="P117" s="223"/>
    </row>
    <row r="118" spans="3:16" s="235" customFormat="1">
      <c r="C118" s="223"/>
      <c r="D118" s="223"/>
      <c r="E118" s="223"/>
      <c r="F118" s="223"/>
      <c r="G118" s="223"/>
      <c r="H118" s="223"/>
      <c r="I118" s="223"/>
      <c r="J118" s="223"/>
      <c r="K118" s="223"/>
      <c r="L118" s="223"/>
      <c r="M118" s="223"/>
      <c r="N118" s="223"/>
      <c r="O118" s="223"/>
      <c r="P118" s="223"/>
    </row>
    <row r="119" spans="3:16" s="235" customFormat="1">
      <c r="C119" s="223"/>
      <c r="D119" s="223"/>
      <c r="E119" s="223"/>
      <c r="F119" s="223"/>
      <c r="G119" s="223"/>
      <c r="H119" s="223"/>
      <c r="I119" s="223"/>
      <c r="J119" s="223"/>
      <c r="K119" s="223"/>
      <c r="L119" s="223"/>
      <c r="M119" s="223"/>
      <c r="N119" s="223"/>
      <c r="O119" s="223"/>
      <c r="P119" s="223"/>
    </row>
    <row r="120" spans="3:16" s="235" customFormat="1">
      <c r="C120" s="223"/>
      <c r="D120" s="223"/>
      <c r="E120" s="223"/>
      <c r="F120" s="223"/>
      <c r="G120" s="223"/>
      <c r="H120" s="223"/>
      <c r="I120" s="223"/>
      <c r="J120" s="223"/>
      <c r="K120" s="223"/>
      <c r="L120" s="223"/>
      <c r="M120" s="223"/>
      <c r="N120" s="223"/>
      <c r="O120" s="223"/>
      <c r="P120" s="223"/>
    </row>
    <row r="121" spans="3:16" s="235" customFormat="1">
      <c r="C121" s="223"/>
      <c r="D121" s="223"/>
      <c r="E121" s="223"/>
      <c r="F121" s="223"/>
      <c r="G121" s="223"/>
      <c r="H121" s="223"/>
      <c r="I121" s="223"/>
      <c r="J121" s="223"/>
      <c r="K121" s="223"/>
      <c r="L121" s="223"/>
      <c r="M121" s="223"/>
      <c r="N121" s="223"/>
      <c r="O121" s="223"/>
      <c r="P121" s="223"/>
    </row>
    <row r="122" spans="3:16" s="235" customFormat="1">
      <c r="C122" s="223"/>
      <c r="D122" s="223"/>
      <c r="E122" s="223"/>
      <c r="F122" s="223"/>
      <c r="G122" s="223"/>
      <c r="H122" s="223"/>
      <c r="I122" s="223"/>
      <c r="J122" s="223"/>
      <c r="K122" s="223"/>
      <c r="L122" s="223"/>
      <c r="M122" s="223"/>
      <c r="N122" s="223"/>
      <c r="O122" s="223"/>
      <c r="P122" s="223"/>
    </row>
    <row r="123" spans="3:16" s="235" customFormat="1">
      <c r="C123" s="223"/>
      <c r="D123" s="223"/>
      <c r="E123" s="223"/>
      <c r="F123" s="223"/>
      <c r="G123" s="223"/>
      <c r="H123" s="223"/>
      <c r="I123" s="223"/>
      <c r="J123" s="223"/>
      <c r="K123" s="223"/>
      <c r="L123" s="223"/>
      <c r="M123" s="223"/>
      <c r="N123" s="223"/>
      <c r="O123" s="223"/>
      <c r="P123" s="223"/>
    </row>
    <row r="124" spans="3:16" s="235" customFormat="1">
      <c r="C124" s="223"/>
      <c r="D124" s="223"/>
      <c r="E124" s="223"/>
      <c r="F124" s="223"/>
      <c r="G124" s="223"/>
      <c r="H124" s="223"/>
      <c r="I124" s="223"/>
      <c r="J124" s="223"/>
      <c r="K124" s="223"/>
      <c r="L124" s="223"/>
      <c r="M124" s="223"/>
      <c r="N124" s="223"/>
      <c r="O124" s="223"/>
      <c r="P124" s="223"/>
    </row>
    <row r="125" spans="3:16" s="235" customFormat="1">
      <c r="C125" s="223"/>
      <c r="D125" s="223"/>
      <c r="E125" s="223"/>
      <c r="F125" s="223"/>
      <c r="G125" s="223"/>
      <c r="H125" s="223"/>
      <c r="I125" s="223"/>
      <c r="J125" s="223"/>
      <c r="K125" s="223"/>
      <c r="L125" s="223"/>
      <c r="M125" s="223"/>
      <c r="N125" s="223"/>
      <c r="O125" s="223"/>
      <c r="P125" s="223"/>
    </row>
    <row r="126" spans="3:16" s="235" customFormat="1">
      <c r="C126" s="223"/>
      <c r="D126" s="223"/>
      <c r="E126" s="223"/>
      <c r="F126" s="223"/>
      <c r="G126" s="223"/>
      <c r="H126" s="223"/>
      <c r="I126" s="223"/>
      <c r="J126" s="223"/>
      <c r="K126" s="223"/>
      <c r="L126" s="223"/>
      <c r="M126" s="223"/>
      <c r="N126" s="223"/>
      <c r="O126" s="223"/>
      <c r="P126" s="223"/>
    </row>
    <row r="127" spans="3:16" s="235" customFormat="1">
      <c r="C127" s="223"/>
      <c r="D127" s="223"/>
      <c r="E127" s="223"/>
      <c r="F127" s="223"/>
      <c r="G127" s="223"/>
      <c r="H127" s="223"/>
      <c r="I127" s="223"/>
      <c r="J127" s="223"/>
      <c r="K127" s="223"/>
      <c r="L127" s="223"/>
      <c r="M127" s="223"/>
      <c r="N127" s="223"/>
      <c r="O127" s="223"/>
      <c r="P127" s="223"/>
    </row>
    <row r="128" spans="3:16" s="235" customFormat="1">
      <c r="C128" s="223"/>
      <c r="D128" s="223"/>
      <c r="E128" s="223"/>
      <c r="F128" s="223"/>
      <c r="G128" s="223"/>
      <c r="H128" s="223"/>
      <c r="I128" s="223"/>
      <c r="J128" s="223"/>
      <c r="K128" s="223"/>
      <c r="L128" s="223"/>
      <c r="M128" s="223"/>
      <c r="N128" s="223"/>
      <c r="O128" s="223"/>
      <c r="P128" s="223"/>
    </row>
    <row r="129" spans="3:16" s="235" customFormat="1">
      <c r="C129" s="223"/>
      <c r="D129" s="223"/>
      <c r="E129" s="223"/>
      <c r="F129" s="223"/>
      <c r="G129" s="223"/>
      <c r="H129" s="223"/>
      <c r="I129" s="223"/>
      <c r="J129" s="223"/>
      <c r="K129" s="223"/>
      <c r="L129" s="223"/>
      <c r="M129" s="223"/>
      <c r="N129" s="223"/>
      <c r="O129" s="223"/>
      <c r="P129" s="223"/>
    </row>
    <row r="130" spans="3:16" s="235" customFormat="1">
      <c r="C130" s="223"/>
      <c r="D130" s="223"/>
      <c r="E130" s="223"/>
      <c r="F130" s="223"/>
      <c r="G130" s="223"/>
      <c r="H130" s="223"/>
      <c r="I130" s="223"/>
      <c r="J130" s="223"/>
      <c r="K130" s="223"/>
      <c r="L130" s="223"/>
      <c r="M130" s="223"/>
      <c r="N130" s="223"/>
      <c r="O130" s="223"/>
      <c r="P130" s="223"/>
    </row>
    <row r="131" spans="3:16">
      <c r="C131" s="145"/>
      <c r="D131" s="145"/>
      <c r="E131" s="145"/>
      <c r="F131" s="145"/>
      <c r="G131" s="145"/>
      <c r="H131" s="145"/>
      <c r="I131" s="145"/>
      <c r="J131" s="145"/>
      <c r="K131" s="145"/>
      <c r="L131" s="145"/>
      <c r="M131" s="145"/>
      <c r="N131" s="145"/>
      <c r="O131" s="223"/>
      <c r="P131" s="223"/>
    </row>
    <row r="132" spans="3:16">
      <c r="C132" s="145"/>
      <c r="D132" s="145"/>
      <c r="E132" s="145"/>
      <c r="F132" s="145"/>
      <c r="G132" s="145"/>
      <c r="H132" s="145"/>
      <c r="I132" s="145"/>
      <c r="J132" s="145"/>
      <c r="K132" s="145"/>
      <c r="L132" s="145"/>
      <c r="M132" s="145"/>
      <c r="N132" s="145"/>
      <c r="O132" s="223"/>
      <c r="P132" s="223"/>
    </row>
    <row r="133" spans="3:16">
      <c r="C133" s="145"/>
      <c r="D133" s="145"/>
      <c r="E133" s="145"/>
      <c r="F133" s="145"/>
      <c r="G133" s="145"/>
      <c r="H133" s="145"/>
      <c r="I133" s="145"/>
      <c r="J133" s="145"/>
      <c r="K133" s="145"/>
      <c r="L133" s="145"/>
      <c r="M133" s="145"/>
      <c r="N133" s="145"/>
      <c r="O133" s="223"/>
      <c r="P133" s="223"/>
    </row>
    <row r="134" spans="3:16">
      <c r="C134" s="145"/>
      <c r="D134" s="145"/>
      <c r="E134" s="145"/>
      <c r="F134" s="145"/>
      <c r="G134" s="145"/>
      <c r="H134" s="145"/>
      <c r="I134" s="145"/>
      <c r="J134" s="145"/>
      <c r="K134" s="145"/>
      <c r="L134" s="145"/>
      <c r="M134" s="145"/>
      <c r="N134" s="145"/>
      <c r="O134" s="223"/>
      <c r="P134" s="223"/>
    </row>
    <row r="135" spans="3:16">
      <c r="C135" s="145"/>
      <c r="D135" s="145"/>
      <c r="E135" s="145"/>
      <c r="F135" s="145"/>
      <c r="G135" s="145"/>
      <c r="H135" s="145"/>
      <c r="I135" s="145"/>
      <c r="J135" s="145"/>
      <c r="K135" s="145"/>
      <c r="L135" s="145"/>
      <c r="M135" s="145"/>
      <c r="N135" s="145"/>
      <c r="O135" s="223"/>
      <c r="P135" s="223"/>
    </row>
    <row r="136" spans="3:16">
      <c r="C136" s="145"/>
      <c r="D136" s="145"/>
      <c r="E136" s="145"/>
      <c r="F136" s="145"/>
      <c r="G136" s="145"/>
      <c r="H136" s="145"/>
      <c r="I136" s="145"/>
      <c r="J136" s="145"/>
      <c r="K136" s="145"/>
      <c r="L136" s="145"/>
      <c r="M136" s="145"/>
      <c r="N136" s="145"/>
      <c r="O136" s="223"/>
      <c r="P136" s="223"/>
    </row>
  </sheetData>
  <mergeCells count="8">
    <mergeCell ref="F48:M49"/>
    <mergeCell ref="F50:M51"/>
    <mergeCell ref="C7:M7"/>
    <mergeCell ref="C8:M8"/>
    <mergeCell ref="C9:M9"/>
    <mergeCell ref="C11:M11"/>
    <mergeCell ref="C12:M12"/>
    <mergeCell ref="F34:M36"/>
  </mergeCells>
  <pageMargins left="0.511811024" right="0.511811024" top="0.78740157499999996" bottom="0.78740157499999996" header="0.31496062000000002" footer="0.31496062000000002"/>
  <pageSetup paperSize="9" scale="67" fitToHeight="0" orientation="portrait" r:id="rId1"/>
  <drawing r:id="rId2"/>
</worksheet>
</file>

<file path=xl/worksheets/sheet10.xml><?xml version="1.0" encoding="utf-8"?>
<worksheet xmlns="http://schemas.openxmlformats.org/spreadsheetml/2006/main" xmlns:r="http://schemas.openxmlformats.org/officeDocument/2006/relationships">
  <dimension ref="A1:AG165"/>
  <sheetViews>
    <sheetView topLeftCell="D1" workbookViewId="0">
      <selection activeCell="M8" sqref="M8:N8"/>
    </sheetView>
  </sheetViews>
  <sheetFormatPr defaultColWidth="9.140625" defaultRowHeight="15"/>
  <cols>
    <col min="1" max="1" width="13.7109375" style="434" hidden="1" customWidth="1"/>
    <col min="2" max="2" width="7.7109375" style="434" hidden="1" customWidth="1"/>
    <col min="3" max="3" width="5.7109375" style="435" hidden="1" customWidth="1"/>
    <col min="4" max="4" width="2.7109375" style="434" customWidth="1"/>
    <col min="5" max="6" width="14.85546875" style="434" customWidth="1"/>
    <col min="7" max="7" width="8.28515625" style="434" customWidth="1"/>
    <col min="8" max="8" width="37.5703125" style="434" customWidth="1"/>
    <col min="9" max="9" width="8.140625" style="434" customWidth="1"/>
    <col min="10" max="13" width="9.140625" style="434"/>
    <col min="14" max="14" width="7.85546875" style="434" customWidth="1"/>
    <col min="15" max="15" width="4.140625" style="434" customWidth="1"/>
    <col min="16" max="16384" width="9.140625" style="436"/>
  </cols>
  <sheetData>
    <row r="1" spans="1:33" ht="15.75" customHeight="1">
      <c r="E1" s="784" t="s">
        <v>2235</v>
      </c>
      <c r="F1" s="785"/>
      <c r="G1" s="785"/>
      <c r="H1" s="785"/>
      <c r="I1" s="785"/>
      <c r="J1" s="785"/>
      <c r="K1" s="785"/>
      <c r="L1" s="785"/>
      <c r="M1" s="785"/>
      <c r="N1" s="786"/>
      <c r="P1" s="434"/>
      <c r="Q1" s="434"/>
      <c r="R1" s="434"/>
      <c r="S1" s="434"/>
      <c r="T1" s="434"/>
      <c r="U1" s="434"/>
      <c r="V1" s="434"/>
      <c r="W1" s="434"/>
      <c r="X1" s="434"/>
      <c r="Y1" s="434"/>
      <c r="Z1" s="434"/>
      <c r="AA1" s="434"/>
      <c r="AB1" s="434"/>
      <c r="AC1" s="434"/>
      <c r="AD1" s="434"/>
      <c r="AE1" s="434"/>
      <c r="AF1" s="434"/>
    </row>
    <row r="2" spans="1:33">
      <c r="E2" s="437"/>
      <c r="F2" s="438"/>
      <c r="G2" s="439"/>
      <c r="H2" s="439"/>
      <c r="N2" s="440"/>
      <c r="P2" s="434"/>
      <c r="Q2" s="434"/>
      <c r="R2" s="434"/>
      <c r="S2" s="434"/>
      <c r="T2" s="434"/>
      <c r="U2" s="434"/>
      <c r="V2" s="434"/>
      <c r="W2" s="434"/>
      <c r="X2" s="434"/>
      <c r="Y2" s="434"/>
      <c r="Z2" s="434"/>
      <c r="AA2" s="434"/>
      <c r="AB2" s="434"/>
      <c r="AC2" s="434"/>
      <c r="AD2" s="434"/>
      <c r="AE2" s="434"/>
      <c r="AF2" s="434"/>
    </row>
    <row r="3" spans="1:33" ht="15" customHeight="1">
      <c r="E3" s="787" t="s">
        <v>2888</v>
      </c>
      <c r="F3" s="788"/>
      <c r="G3" s="788"/>
      <c r="H3" s="788"/>
      <c r="I3" s="788"/>
      <c r="J3" s="788"/>
      <c r="K3" s="788"/>
      <c r="L3" s="788"/>
      <c r="M3" s="788"/>
      <c r="N3" s="789"/>
      <c r="P3" s="434"/>
      <c r="Q3" s="434"/>
      <c r="R3" s="434"/>
      <c r="S3" s="434"/>
      <c r="T3" s="434"/>
      <c r="U3" s="434"/>
      <c r="V3" s="434"/>
      <c r="W3" s="434"/>
      <c r="X3" s="434"/>
      <c r="Y3" s="434"/>
      <c r="Z3" s="434"/>
      <c r="AA3" s="434"/>
      <c r="AB3" s="434"/>
      <c r="AC3" s="434"/>
      <c r="AD3" s="434"/>
      <c r="AE3" s="434"/>
      <c r="AF3" s="434"/>
    </row>
    <row r="4" spans="1:33">
      <c r="E4" s="437"/>
      <c r="F4" s="438"/>
      <c r="G4" s="439"/>
      <c r="H4" s="439"/>
      <c r="N4" s="440"/>
      <c r="P4" s="434"/>
      <c r="Q4" s="434"/>
      <c r="R4" s="434"/>
      <c r="S4" s="434"/>
      <c r="T4" s="434"/>
      <c r="U4" s="434"/>
      <c r="V4" s="434"/>
      <c r="W4" s="434"/>
      <c r="X4" s="434"/>
      <c r="Y4" s="434"/>
      <c r="Z4" s="434"/>
      <c r="AA4" s="434"/>
      <c r="AB4" s="434"/>
      <c r="AC4" s="434"/>
      <c r="AD4" s="434"/>
      <c r="AE4" s="434"/>
      <c r="AF4" s="434"/>
    </row>
    <row r="5" spans="1:33">
      <c r="E5" s="437"/>
      <c r="F5" s="438"/>
      <c r="G5" s="439"/>
      <c r="H5" s="439"/>
      <c r="N5" s="440"/>
      <c r="P5" s="434"/>
      <c r="Q5" s="434"/>
      <c r="R5" s="434"/>
      <c r="S5" s="434"/>
      <c r="T5" s="434"/>
      <c r="U5" s="434"/>
      <c r="V5" s="434"/>
      <c r="W5" s="434"/>
      <c r="X5" s="434"/>
      <c r="Y5" s="434"/>
      <c r="Z5" s="434"/>
      <c r="AA5" s="434"/>
      <c r="AB5" s="434"/>
      <c r="AC5" s="434"/>
      <c r="AD5" s="434"/>
      <c r="AE5" s="434"/>
      <c r="AF5" s="434"/>
    </row>
    <row r="6" spans="1:33" ht="15.75" customHeight="1">
      <c r="E6" s="790" t="s">
        <v>2771</v>
      </c>
      <c r="F6" s="791"/>
      <c r="G6" s="791"/>
      <c r="H6" s="791"/>
      <c r="I6" s="791"/>
      <c r="J6" s="791"/>
      <c r="K6" s="791"/>
      <c r="L6" s="791"/>
      <c r="M6" s="791"/>
      <c r="N6" s="792"/>
      <c r="P6" s="434"/>
      <c r="Q6" s="434"/>
      <c r="R6" s="434"/>
      <c r="S6" s="434"/>
      <c r="T6" s="434"/>
      <c r="U6" s="434"/>
      <c r="V6" s="434"/>
      <c r="W6" s="434"/>
      <c r="X6" s="434"/>
      <c r="Y6" s="434"/>
      <c r="Z6" s="434"/>
      <c r="AA6" s="434"/>
      <c r="AB6" s="434"/>
      <c r="AC6" s="434"/>
      <c r="AD6" s="434"/>
      <c r="AE6" s="434"/>
      <c r="AF6" s="434"/>
    </row>
    <row r="7" spans="1:33">
      <c r="E7" s="437"/>
      <c r="F7" s="438"/>
      <c r="G7" s="441"/>
      <c r="H7" s="441"/>
      <c r="N7" s="440"/>
      <c r="P7" s="434"/>
      <c r="Q7" s="434"/>
      <c r="R7" s="434"/>
      <c r="S7" s="434"/>
      <c r="T7" s="434"/>
      <c r="U7" s="434"/>
      <c r="V7" s="434"/>
      <c r="W7" s="434"/>
      <c r="X7" s="434"/>
      <c r="Y7" s="434"/>
      <c r="Z7" s="434"/>
      <c r="AA7" s="434"/>
      <c r="AB7" s="434"/>
      <c r="AC7" s="434"/>
      <c r="AD7" s="434"/>
      <c r="AE7" s="434"/>
      <c r="AF7" s="434"/>
    </row>
    <row r="8" spans="1:33" ht="15.75" customHeight="1">
      <c r="E8" s="790" t="s">
        <v>2772</v>
      </c>
      <c r="F8" s="791"/>
      <c r="G8" s="791"/>
      <c r="H8" s="791"/>
      <c r="I8" s="791"/>
      <c r="J8" s="791"/>
      <c r="K8" s="791"/>
      <c r="L8" s="791"/>
      <c r="M8" s="793" t="s">
        <v>2905</v>
      </c>
      <c r="N8" s="794"/>
      <c r="P8" s="434"/>
      <c r="Q8" s="434"/>
      <c r="R8" s="434"/>
      <c r="S8" s="434"/>
      <c r="T8" s="434"/>
      <c r="U8" s="434"/>
      <c r="V8" s="434"/>
      <c r="W8" s="434"/>
      <c r="X8" s="434"/>
      <c r="Y8" s="434"/>
      <c r="Z8" s="434"/>
      <c r="AA8" s="434"/>
      <c r="AB8" s="434"/>
      <c r="AC8" s="434"/>
      <c r="AD8" s="434"/>
      <c r="AE8" s="434"/>
      <c r="AF8" s="434"/>
    </row>
    <row r="9" spans="1:33">
      <c r="E9" s="437"/>
      <c r="F9" s="438"/>
      <c r="G9" s="441"/>
      <c r="H9" s="441"/>
      <c r="N9" s="440"/>
      <c r="P9" s="434"/>
      <c r="Q9" s="434"/>
      <c r="R9" s="434"/>
      <c r="S9" s="434"/>
      <c r="T9" s="434"/>
      <c r="U9" s="434"/>
      <c r="V9" s="434"/>
      <c r="W9" s="434"/>
      <c r="X9" s="434"/>
      <c r="Y9" s="434"/>
      <c r="Z9" s="434"/>
      <c r="AA9" s="434"/>
      <c r="AB9" s="434"/>
      <c r="AC9" s="434"/>
      <c r="AD9" s="434"/>
      <c r="AE9" s="434"/>
      <c r="AF9" s="434"/>
    </row>
    <row r="10" spans="1:33">
      <c r="E10" s="437"/>
      <c r="F10" s="438"/>
      <c r="G10" s="441"/>
      <c r="H10" s="441"/>
      <c r="N10" s="440"/>
      <c r="P10" s="434"/>
      <c r="Q10" s="434"/>
      <c r="R10" s="434"/>
      <c r="S10" s="434"/>
      <c r="T10" s="434"/>
      <c r="U10" s="434"/>
      <c r="V10" s="434"/>
      <c r="W10" s="434"/>
      <c r="X10" s="434"/>
      <c r="Y10" s="434"/>
      <c r="Z10" s="434"/>
      <c r="AA10" s="434"/>
      <c r="AB10" s="434"/>
      <c r="AC10" s="434"/>
      <c r="AD10" s="434"/>
      <c r="AE10" s="434"/>
      <c r="AF10" s="434"/>
    </row>
    <row r="11" spans="1:33" ht="15" customHeight="1">
      <c r="E11" s="437"/>
      <c r="F11" s="438"/>
      <c r="G11" s="436"/>
      <c r="H11" s="436"/>
      <c r="K11" s="795" t="s">
        <v>2773</v>
      </c>
      <c r="L11" s="795"/>
      <c r="M11" s="795"/>
      <c r="N11" s="796"/>
      <c r="P11" s="434"/>
      <c r="Q11" s="434"/>
      <c r="R11" s="434"/>
      <c r="S11" s="434"/>
      <c r="T11" s="434"/>
      <c r="U11" s="434"/>
      <c r="V11" s="434"/>
      <c r="W11" s="434"/>
      <c r="X11" s="434"/>
      <c r="Y11" s="434"/>
      <c r="Z11" s="434"/>
      <c r="AA11" s="434"/>
      <c r="AB11" s="434"/>
      <c r="AC11" s="434"/>
      <c r="AD11" s="434"/>
      <c r="AE11" s="434"/>
      <c r="AF11" s="434"/>
    </row>
    <row r="12" spans="1:33">
      <c r="E12" s="437"/>
      <c r="F12" s="438"/>
      <c r="G12" s="441"/>
      <c r="H12" s="441"/>
      <c r="N12" s="440"/>
      <c r="P12" s="434"/>
      <c r="Q12" s="434"/>
      <c r="R12" s="434"/>
      <c r="S12" s="434"/>
      <c r="T12" s="434"/>
      <c r="U12" s="434"/>
      <c r="V12" s="434"/>
      <c r="W12" s="434"/>
      <c r="X12" s="434"/>
      <c r="Y12" s="434"/>
      <c r="Z12" s="434"/>
      <c r="AA12" s="434"/>
      <c r="AB12" s="434"/>
      <c r="AC12" s="434"/>
      <c r="AD12" s="434"/>
      <c r="AE12" s="434"/>
      <c r="AF12" s="434"/>
    </row>
    <row r="13" spans="1:33" s="434" customFormat="1" ht="10.5" customHeight="1">
      <c r="C13" s="435"/>
      <c r="E13" s="778" t="s">
        <v>2823</v>
      </c>
      <c r="F13" s="779"/>
      <c r="G13" s="779"/>
      <c r="H13" s="779"/>
      <c r="I13" s="779"/>
      <c r="J13" s="779"/>
      <c r="K13" s="779"/>
      <c r="L13" s="779"/>
      <c r="M13" s="779"/>
      <c r="N13" s="780"/>
    </row>
    <row r="14" spans="1:33" ht="15" customHeight="1">
      <c r="E14" s="778" t="s">
        <v>2824</v>
      </c>
      <c r="F14" s="779"/>
      <c r="G14" s="779"/>
      <c r="H14" s="779"/>
      <c r="I14" s="779"/>
      <c r="J14" s="779"/>
      <c r="K14" s="779"/>
      <c r="L14" s="779"/>
      <c r="M14" s="779"/>
      <c r="N14" s="780"/>
      <c r="P14" s="434"/>
      <c r="Q14" s="434"/>
      <c r="R14" s="434"/>
      <c r="S14" s="434"/>
      <c r="T14" s="434"/>
      <c r="U14" s="434"/>
      <c r="V14" s="434"/>
      <c r="W14" s="434"/>
      <c r="X14" s="434"/>
      <c r="Y14" s="434"/>
      <c r="Z14" s="434"/>
      <c r="AA14" s="434"/>
      <c r="AB14" s="434"/>
      <c r="AC14" s="434"/>
      <c r="AD14" s="434"/>
      <c r="AE14" s="434"/>
      <c r="AF14" s="434"/>
      <c r="AG14" s="434"/>
    </row>
    <row r="15" spans="1:33" ht="62.25" customHeight="1">
      <c r="E15" s="781" t="s">
        <v>2903</v>
      </c>
      <c r="F15" s="782"/>
      <c r="G15" s="782"/>
      <c r="H15" s="782"/>
      <c r="I15" s="782"/>
      <c r="J15" s="782"/>
      <c r="K15" s="782"/>
      <c r="L15" s="782"/>
      <c r="M15" s="782"/>
      <c r="N15" s="783"/>
      <c r="P15" s="434"/>
      <c r="Q15" s="434"/>
      <c r="R15" s="434"/>
      <c r="S15" s="434"/>
      <c r="T15" s="434"/>
      <c r="U15" s="434"/>
      <c r="V15" s="434"/>
      <c r="W15" s="434"/>
      <c r="X15" s="434"/>
      <c r="Y15" s="434"/>
      <c r="Z15" s="434"/>
      <c r="AA15" s="434"/>
      <c r="AB15" s="434"/>
      <c r="AC15" s="434"/>
      <c r="AD15" s="434"/>
      <c r="AE15" s="434"/>
      <c r="AF15" s="434"/>
      <c r="AG15" s="434"/>
    </row>
    <row r="16" spans="1:33">
      <c r="A16" s="442">
        <v>4749.6000000000004</v>
      </c>
      <c r="B16" s="443" t="e">
        <f>A16/#REF!</f>
        <v>#REF!</v>
      </c>
      <c r="C16" s="444" t="s">
        <v>2889</v>
      </c>
      <c r="E16" s="445">
        <f>RESUMO!D24*1.2026</f>
        <v>6221536.9612339996</v>
      </c>
      <c r="F16" s="445">
        <f>E16</f>
        <v>6221536.9612339996</v>
      </c>
      <c r="G16" s="446">
        <f t="shared" ref="G16:G52" si="0">E16/$F$52</f>
        <v>0.20916608415090829</v>
      </c>
      <c r="H16" s="447">
        <f>G16</f>
        <v>0.20916608415090829</v>
      </c>
      <c r="I16" s="448" t="s">
        <v>2890</v>
      </c>
      <c r="J16" s="449" t="s">
        <v>325</v>
      </c>
      <c r="K16" s="450"/>
      <c r="L16" s="450"/>
      <c r="M16" s="450"/>
      <c r="N16" s="451"/>
      <c r="P16" s="434"/>
      <c r="Q16" s="434"/>
      <c r="R16" s="434"/>
      <c r="S16" s="434"/>
      <c r="T16" s="434"/>
      <c r="U16" s="434"/>
      <c r="V16" s="434"/>
      <c r="W16" s="434"/>
      <c r="X16" s="434"/>
      <c r="Y16" s="434"/>
      <c r="Z16" s="434"/>
      <c r="AA16" s="434"/>
      <c r="AB16" s="434"/>
      <c r="AC16" s="434"/>
      <c r="AD16" s="434"/>
      <c r="AE16" s="434"/>
      <c r="AF16" s="434"/>
      <c r="AG16" s="434"/>
    </row>
    <row r="17" spans="1:33">
      <c r="A17" s="452">
        <v>649543.07799589995</v>
      </c>
      <c r="B17" s="453" t="e">
        <f>A17/#REF!</f>
        <v>#REF!</v>
      </c>
      <c r="C17" s="454" t="s">
        <v>2891</v>
      </c>
      <c r="E17" s="455">
        <f>RESUMO!D23*1.2026</f>
        <v>4138365.9422139996</v>
      </c>
      <c r="F17" s="455">
        <f>F16+E17</f>
        <v>10359902.903447999</v>
      </c>
      <c r="G17" s="456">
        <f t="shared" si="0"/>
        <v>0.13913054030055932</v>
      </c>
      <c r="H17" s="457">
        <f>H16+G17</f>
        <v>0.34829662445146758</v>
      </c>
      <c r="I17" s="458" t="s">
        <v>2890</v>
      </c>
      <c r="J17" s="459" t="s">
        <v>181</v>
      </c>
      <c r="K17" s="460"/>
      <c r="L17" s="460"/>
      <c r="M17" s="460"/>
      <c r="N17" s="461"/>
      <c r="P17" s="434"/>
      <c r="Q17" s="434"/>
      <c r="R17" s="434"/>
      <c r="S17" s="434"/>
      <c r="T17" s="434"/>
      <c r="U17" s="434"/>
      <c r="V17" s="434"/>
      <c r="W17" s="434"/>
      <c r="X17" s="434"/>
      <c r="Y17" s="434"/>
      <c r="Z17" s="434"/>
      <c r="AA17" s="434"/>
      <c r="AB17" s="434"/>
      <c r="AC17" s="434"/>
      <c r="AD17" s="434"/>
      <c r="AE17" s="434"/>
      <c r="AF17" s="434"/>
      <c r="AG17" s="434"/>
    </row>
    <row r="18" spans="1:33">
      <c r="A18" s="452" t="s">
        <v>1154</v>
      </c>
      <c r="B18" s="453"/>
      <c r="C18" s="454"/>
      <c r="E18" s="455">
        <f>RESUMO!D36*1.2026</f>
        <v>3539321.2862279993</v>
      </c>
      <c r="F18" s="455">
        <f t="shared" ref="F18:F52" si="1">F17+E18</f>
        <v>13899224.189675998</v>
      </c>
      <c r="G18" s="456">
        <f t="shared" si="0"/>
        <v>0.11899085042893195</v>
      </c>
      <c r="H18" s="457">
        <f t="shared" ref="H18:H52" si="2">H17+G18</f>
        <v>0.46728747488039957</v>
      </c>
      <c r="I18" s="458" t="s">
        <v>2890</v>
      </c>
      <c r="J18" s="459" t="s">
        <v>471</v>
      </c>
      <c r="K18" s="460"/>
      <c r="L18" s="460"/>
      <c r="M18" s="460"/>
      <c r="N18" s="461"/>
      <c r="P18" s="434"/>
      <c r="Q18" s="434"/>
      <c r="R18" s="434"/>
      <c r="S18" s="434"/>
      <c r="T18" s="434"/>
      <c r="U18" s="434"/>
      <c r="V18" s="434"/>
      <c r="W18" s="434"/>
      <c r="X18" s="434"/>
      <c r="Y18" s="434"/>
      <c r="Z18" s="434"/>
      <c r="AA18" s="434"/>
      <c r="AB18" s="434"/>
      <c r="AC18" s="434"/>
      <c r="AD18" s="434"/>
      <c r="AE18" s="434"/>
      <c r="AF18" s="434"/>
      <c r="AG18" s="434"/>
    </row>
    <row r="19" spans="1:33">
      <c r="A19" s="452">
        <v>905540.92576290399</v>
      </c>
      <c r="B19" s="453" t="e">
        <f>A19/#REF!</f>
        <v>#REF!</v>
      </c>
      <c r="C19" s="454" t="s">
        <v>2891</v>
      </c>
      <c r="E19" s="462">
        <f>RESUMO!D27*1.2026</f>
        <v>1837605.7632659997</v>
      </c>
      <c r="F19" s="462">
        <f t="shared" si="1"/>
        <v>15736829.952941997</v>
      </c>
      <c r="G19" s="463">
        <f t="shared" si="0"/>
        <v>6.1779718437814123E-2</v>
      </c>
      <c r="H19" s="463">
        <f t="shared" si="2"/>
        <v>0.52906719331821372</v>
      </c>
      <c r="I19" s="464" t="s">
        <v>2890</v>
      </c>
      <c r="J19" s="465" t="s">
        <v>352</v>
      </c>
      <c r="K19" s="466"/>
      <c r="L19" s="466"/>
      <c r="M19" s="466"/>
      <c r="N19" s="467"/>
      <c r="P19" s="434"/>
      <c r="Q19" s="434"/>
      <c r="R19" s="434"/>
      <c r="S19" s="434"/>
      <c r="T19" s="434"/>
      <c r="U19" s="434"/>
      <c r="V19" s="434"/>
      <c r="W19" s="434"/>
      <c r="X19" s="434"/>
      <c r="Y19" s="434"/>
      <c r="Z19" s="434"/>
      <c r="AA19" s="434"/>
      <c r="AB19" s="434"/>
      <c r="AC19" s="434"/>
      <c r="AD19" s="434"/>
      <c r="AE19" s="434"/>
      <c r="AF19" s="434"/>
      <c r="AG19" s="434"/>
    </row>
    <row r="20" spans="1:33">
      <c r="A20" s="452">
        <v>963713.96969499998</v>
      </c>
      <c r="B20" s="453" t="e">
        <f>A20/#REF!</f>
        <v>#REF!</v>
      </c>
      <c r="C20" s="454" t="s">
        <v>2891</v>
      </c>
      <c r="E20" s="468">
        <f>RESUMO!D31*1.2026</f>
        <v>1821792.174566</v>
      </c>
      <c r="F20" s="468">
        <f t="shared" si="1"/>
        <v>17558622.127507996</v>
      </c>
      <c r="G20" s="469">
        <f t="shared" si="0"/>
        <v>6.124807063995294E-2</v>
      </c>
      <c r="H20" s="470">
        <f t="shared" si="2"/>
        <v>0.59031526395816669</v>
      </c>
      <c r="I20" s="471" t="s">
        <v>2891</v>
      </c>
      <c r="J20" s="472" t="s">
        <v>424</v>
      </c>
      <c r="K20" s="473"/>
      <c r="L20" s="473"/>
      <c r="M20" s="473"/>
      <c r="N20" s="474"/>
      <c r="P20" s="434"/>
      <c r="Q20" s="434"/>
      <c r="R20" s="434"/>
      <c r="S20" s="434"/>
      <c r="T20" s="434"/>
      <c r="U20" s="434"/>
      <c r="V20" s="434"/>
      <c r="W20" s="434"/>
      <c r="X20" s="434"/>
      <c r="Y20" s="434"/>
      <c r="Z20" s="434"/>
      <c r="AA20" s="434"/>
      <c r="AB20" s="434"/>
      <c r="AC20" s="434"/>
      <c r="AD20" s="434"/>
      <c r="AE20" s="434"/>
      <c r="AF20" s="434"/>
      <c r="AG20" s="434"/>
    </row>
    <row r="21" spans="1:33">
      <c r="A21" s="452" t="s">
        <v>1154</v>
      </c>
      <c r="B21" s="453"/>
      <c r="C21" s="454"/>
      <c r="E21" s="475">
        <f>RESUMO!D21*1.2026</f>
        <v>1265958.0910760001</v>
      </c>
      <c r="F21" s="475">
        <f>F23+E21</f>
        <v>21285277.791357998</v>
      </c>
      <c r="G21" s="469">
        <f t="shared" si="0"/>
        <v>4.2561106404968699E-2</v>
      </c>
      <c r="H21" s="476">
        <f>H23+G21</f>
        <v>0.71560423628819703</v>
      </c>
      <c r="I21" s="477" t="s">
        <v>2891</v>
      </c>
      <c r="J21" s="478" t="s">
        <v>92</v>
      </c>
      <c r="K21" s="479"/>
      <c r="L21" s="479"/>
      <c r="M21" s="479"/>
      <c r="N21" s="480"/>
      <c r="P21" s="434"/>
      <c r="Q21" s="434"/>
      <c r="R21" s="434"/>
      <c r="S21" s="434"/>
      <c r="T21" s="434"/>
      <c r="U21" s="434"/>
      <c r="V21" s="434"/>
      <c r="W21" s="434"/>
      <c r="X21" s="434"/>
      <c r="Y21" s="434"/>
      <c r="Z21" s="434"/>
      <c r="AA21" s="434"/>
      <c r="AB21" s="434"/>
      <c r="AC21" s="434"/>
      <c r="AD21" s="434"/>
      <c r="AE21" s="434"/>
      <c r="AF21" s="434"/>
      <c r="AG21" s="434"/>
    </row>
    <row r="22" spans="1:33">
      <c r="A22" s="452">
        <v>2714532.3235894991</v>
      </c>
      <c r="B22" s="453" t="e">
        <f>A22/#REF!</f>
        <v>#REF!</v>
      </c>
      <c r="C22" s="454" t="s">
        <v>2890</v>
      </c>
      <c r="E22" s="475">
        <f>RESUMO!D22*1.2026</f>
        <v>1230863.5172259999</v>
      </c>
      <c r="F22" s="475">
        <f>F20+E22</f>
        <v>18789485.644733995</v>
      </c>
      <c r="G22" s="469">
        <f t="shared" si="0"/>
        <v>4.1381238048823231E-2</v>
      </c>
      <c r="H22" s="476">
        <f>H20+G22</f>
        <v>0.6316965020069899</v>
      </c>
      <c r="I22" s="477" t="s">
        <v>2891</v>
      </c>
      <c r="J22" s="478" t="s">
        <v>2892</v>
      </c>
      <c r="K22" s="479"/>
      <c r="L22" s="479"/>
      <c r="M22" s="479"/>
      <c r="N22" s="480"/>
      <c r="P22" s="434"/>
      <c r="Q22" s="434"/>
      <c r="R22" s="434"/>
      <c r="S22" s="434"/>
      <c r="T22" s="434"/>
      <c r="U22" s="434"/>
      <c r="V22" s="434"/>
      <c r="W22" s="434"/>
      <c r="X22" s="434"/>
      <c r="Y22" s="434"/>
      <c r="Z22" s="434"/>
      <c r="AA22" s="434"/>
      <c r="AB22" s="434"/>
      <c r="AC22" s="434"/>
      <c r="AD22" s="434"/>
      <c r="AE22" s="434"/>
      <c r="AF22" s="434"/>
      <c r="AG22" s="434"/>
    </row>
    <row r="23" spans="1:33">
      <c r="A23" s="452">
        <v>4635072.6881299987</v>
      </c>
      <c r="B23" s="453" t="e">
        <f>A23/#REF!</f>
        <v>#REF!</v>
      </c>
      <c r="C23" s="454" t="s">
        <v>2890</v>
      </c>
      <c r="E23" s="475">
        <f>RESUMO!D59*1.2026</f>
        <v>1229834.0555479997</v>
      </c>
      <c r="F23" s="475">
        <f t="shared" si="1"/>
        <v>20019319.700281996</v>
      </c>
      <c r="G23" s="469">
        <f t="shared" si="0"/>
        <v>4.1346627876238481E-2</v>
      </c>
      <c r="H23" s="476">
        <f t="shared" si="2"/>
        <v>0.67304312988322834</v>
      </c>
      <c r="I23" s="477" t="s">
        <v>2891</v>
      </c>
      <c r="J23" s="478" t="s">
        <v>2893</v>
      </c>
      <c r="K23" s="479"/>
      <c r="L23" s="479"/>
      <c r="M23" s="479"/>
      <c r="N23" s="480"/>
      <c r="P23" s="434"/>
      <c r="Q23" s="434"/>
      <c r="R23" s="434"/>
      <c r="S23" s="434"/>
      <c r="T23" s="434"/>
      <c r="U23" s="434"/>
      <c r="V23" s="434"/>
      <c r="W23" s="434"/>
      <c r="X23" s="434"/>
      <c r="Y23" s="434"/>
      <c r="Z23" s="434"/>
      <c r="AA23" s="434"/>
      <c r="AB23" s="434"/>
      <c r="AC23" s="434"/>
      <c r="AD23" s="434"/>
      <c r="AE23" s="434"/>
      <c r="AF23" s="434"/>
      <c r="AG23" s="434"/>
    </row>
    <row r="24" spans="1:33">
      <c r="A24" s="452">
        <v>810172.39728381997</v>
      </c>
      <c r="B24" s="453" t="e">
        <f>A24/#REF!</f>
        <v>#REF!</v>
      </c>
      <c r="C24" s="454" t="s">
        <v>2891</v>
      </c>
      <c r="E24" s="475">
        <f>RESUMO!D26*1.2026</f>
        <v>972608.91933799989</v>
      </c>
      <c r="F24" s="475">
        <f>F21+E24</f>
        <v>22257886.710695997</v>
      </c>
      <c r="G24" s="469">
        <f t="shared" si="0"/>
        <v>3.2698801009425453E-2</v>
      </c>
      <c r="H24" s="476">
        <f>H21+G24</f>
        <v>0.74830303729762249</v>
      </c>
      <c r="I24" s="477" t="s">
        <v>2891</v>
      </c>
      <c r="J24" s="478" t="s">
        <v>333</v>
      </c>
      <c r="K24" s="479"/>
      <c r="L24" s="479"/>
      <c r="M24" s="479"/>
      <c r="N24" s="480"/>
      <c r="P24" s="434"/>
      <c r="Q24" s="434"/>
      <c r="R24" s="434"/>
      <c r="S24" s="434"/>
      <c r="T24" s="434"/>
      <c r="U24" s="434"/>
      <c r="V24" s="434"/>
      <c r="W24" s="434"/>
      <c r="X24" s="434"/>
      <c r="Y24" s="434"/>
      <c r="Z24" s="434"/>
      <c r="AA24" s="434"/>
      <c r="AB24" s="434"/>
      <c r="AC24" s="434"/>
      <c r="AD24" s="434"/>
      <c r="AE24" s="434"/>
      <c r="AF24" s="434"/>
      <c r="AG24" s="434"/>
    </row>
    <row r="25" spans="1:33">
      <c r="A25" s="452">
        <v>210226.66502324317</v>
      </c>
      <c r="B25" s="453" t="e">
        <f>A25/#REF!</f>
        <v>#REF!</v>
      </c>
      <c r="C25" s="454" t="s">
        <v>2889</v>
      </c>
      <c r="E25" s="475">
        <f>RESUMO!D49*1.2026</f>
        <v>909770.32740999979</v>
      </c>
      <c r="F25" s="475">
        <f>F26+E25</f>
        <v>24016333.265147999</v>
      </c>
      <c r="G25" s="531">
        <f t="shared" si="0"/>
        <v>3.0586187632853999E-2</v>
      </c>
      <c r="H25" s="476">
        <f>H26+G25</f>
        <v>0.80742144843544361</v>
      </c>
      <c r="I25" s="477" t="s">
        <v>2891</v>
      </c>
      <c r="J25" s="478" t="s">
        <v>795</v>
      </c>
      <c r="K25" s="479"/>
      <c r="L25" s="479"/>
      <c r="M25" s="479"/>
      <c r="N25" s="480"/>
      <c r="P25" s="434"/>
      <c r="Q25" s="434"/>
      <c r="R25" s="434"/>
      <c r="S25" s="434"/>
      <c r="T25" s="434"/>
      <c r="U25" s="434"/>
      <c r="V25" s="434"/>
      <c r="W25" s="434"/>
      <c r="X25" s="434"/>
      <c r="Y25" s="434"/>
      <c r="Z25" s="434"/>
      <c r="AA25" s="434"/>
      <c r="AB25" s="434"/>
      <c r="AC25" s="434"/>
      <c r="AD25" s="434"/>
      <c r="AE25" s="434"/>
      <c r="AF25" s="434"/>
      <c r="AG25" s="434"/>
    </row>
    <row r="26" spans="1:33">
      <c r="A26" s="452">
        <v>1502811.7605861968</v>
      </c>
      <c r="B26" s="453" t="e">
        <f>A26/#REF!</f>
        <v>#REF!</v>
      </c>
      <c r="C26" s="454" t="s">
        <v>2890</v>
      </c>
      <c r="E26" s="481">
        <f>RESUMO!D19*1.2026</f>
        <v>848676.22704199993</v>
      </c>
      <c r="F26" s="481">
        <f>F24+E26</f>
        <v>23106562.937737998</v>
      </c>
      <c r="G26" s="532">
        <f t="shared" si="0"/>
        <v>2.8532223504967098E-2</v>
      </c>
      <c r="H26" s="482">
        <f>H24+G26</f>
        <v>0.77683526080258958</v>
      </c>
      <c r="I26" s="483" t="s">
        <v>2891</v>
      </c>
      <c r="J26" s="484" t="s">
        <v>534</v>
      </c>
      <c r="K26" s="485"/>
      <c r="L26" s="485"/>
      <c r="M26" s="485"/>
      <c r="N26" s="486"/>
      <c r="P26" s="434"/>
      <c r="Q26" s="434"/>
      <c r="R26" s="434"/>
      <c r="S26" s="434"/>
      <c r="T26" s="434"/>
      <c r="U26" s="434"/>
      <c r="V26" s="434"/>
      <c r="W26" s="434"/>
      <c r="X26" s="434"/>
      <c r="Y26" s="434"/>
      <c r="Z26" s="434"/>
      <c r="AA26" s="434"/>
      <c r="AB26" s="434"/>
      <c r="AC26" s="434"/>
      <c r="AD26" s="434"/>
      <c r="AE26" s="434"/>
      <c r="AF26" s="434"/>
      <c r="AG26" s="434"/>
    </row>
    <row r="27" spans="1:33">
      <c r="A27" s="452">
        <v>1195177.6540900001</v>
      </c>
      <c r="B27" s="453" t="e">
        <f>A27/#REF!</f>
        <v>#REF!</v>
      </c>
      <c r="C27" s="454" t="s">
        <v>2891</v>
      </c>
      <c r="E27" s="487">
        <f>RESUMO!D46*1.2026</f>
        <v>635755.0792739999</v>
      </c>
      <c r="F27" s="487">
        <f>F28+E27</f>
        <v>25891809.251167998</v>
      </c>
      <c r="G27" s="488">
        <f t="shared" si="0"/>
        <v>2.137388256943144E-2</v>
      </c>
      <c r="H27" s="489">
        <f>H28+G27</f>
        <v>0.87047435165842135</v>
      </c>
      <c r="I27" s="490" t="s">
        <v>2889</v>
      </c>
      <c r="J27" s="491" t="s">
        <v>696</v>
      </c>
      <c r="K27" s="492"/>
      <c r="L27" s="492"/>
      <c r="M27" s="492"/>
      <c r="N27" s="493"/>
      <c r="P27" s="434"/>
      <c r="Q27" s="434"/>
      <c r="R27" s="434"/>
      <c r="S27" s="434"/>
      <c r="T27" s="434"/>
      <c r="U27" s="434"/>
      <c r="V27" s="434"/>
      <c r="W27" s="434"/>
      <c r="X27" s="434"/>
      <c r="Y27" s="434"/>
      <c r="Z27" s="434"/>
      <c r="AA27" s="434"/>
      <c r="AB27" s="434"/>
      <c r="AC27" s="434"/>
      <c r="AD27" s="434"/>
      <c r="AE27" s="434"/>
      <c r="AF27" s="434"/>
      <c r="AG27" s="434"/>
    </row>
    <row r="28" spans="1:33">
      <c r="A28" s="452">
        <v>181617.0325</v>
      </c>
      <c r="B28" s="453" t="e">
        <f>A28/#REF!</f>
        <v>#REF!</v>
      </c>
      <c r="C28" s="454" t="s">
        <v>2889</v>
      </c>
      <c r="E28" s="487">
        <f>RESUMO!D32*1.2026</f>
        <v>629676.29705399985</v>
      </c>
      <c r="F28" s="487">
        <f>F29+E28</f>
        <v>25256054.171893999</v>
      </c>
      <c r="G28" s="488">
        <f t="shared" si="0"/>
        <v>2.1169515854054508E-2</v>
      </c>
      <c r="H28" s="489">
        <f>H29+G28</f>
        <v>0.84910046908898995</v>
      </c>
      <c r="I28" s="490" t="s">
        <v>2889</v>
      </c>
      <c r="J28" s="491" t="s">
        <v>2895</v>
      </c>
      <c r="K28" s="492"/>
      <c r="L28" s="492"/>
      <c r="M28" s="492"/>
      <c r="N28" s="493"/>
      <c r="P28" s="434"/>
      <c r="Q28" s="434"/>
      <c r="R28" s="434"/>
      <c r="S28" s="434"/>
      <c r="T28" s="434"/>
      <c r="U28" s="434"/>
      <c r="V28" s="434"/>
      <c r="W28" s="434"/>
      <c r="X28" s="434"/>
      <c r="Y28" s="434"/>
      <c r="Z28" s="434"/>
      <c r="AA28" s="434"/>
      <c r="AB28" s="434"/>
      <c r="AC28" s="434"/>
      <c r="AD28" s="434"/>
      <c r="AE28" s="434"/>
      <c r="AF28" s="434"/>
      <c r="AG28" s="434"/>
    </row>
    <row r="29" spans="1:33">
      <c r="A29" s="452">
        <v>341014.31859294121</v>
      </c>
      <c r="B29" s="453" t="e">
        <f>A29/#REF!</f>
        <v>#REF!</v>
      </c>
      <c r="C29" s="454" t="s">
        <v>2889</v>
      </c>
      <c r="E29" s="487">
        <f>RESUMO!D57*1.2026</f>
        <v>610044.60969199985</v>
      </c>
      <c r="F29" s="487">
        <f>F25+E29</f>
        <v>24626377.874839999</v>
      </c>
      <c r="G29" s="488">
        <f t="shared" si="0"/>
        <v>2.050950479949188E-2</v>
      </c>
      <c r="H29" s="488">
        <f>H25+G29</f>
        <v>0.82793095323493548</v>
      </c>
      <c r="I29" s="490" t="s">
        <v>2889</v>
      </c>
      <c r="J29" s="491" t="s">
        <v>2894</v>
      </c>
      <c r="K29" s="533"/>
      <c r="L29" s="533"/>
      <c r="M29" s="533"/>
      <c r="N29" s="534"/>
      <c r="P29" s="434"/>
      <c r="Q29" s="434"/>
      <c r="R29" s="434"/>
      <c r="S29" s="434"/>
      <c r="T29" s="434"/>
      <c r="U29" s="434"/>
      <c r="V29" s="434"/>
      <c r="W29" s="434"/>
      <c r="X29" s="434"/>
      <c r="Y29" s="434"/>
      <c r="Z29" s="434"/>
      <c r="AA29" s="434"/>
      <c r="AB29" s="434"/>
      <c r="AC29" s="434"/>
      <c r="AD29" s="434"/>
      <c r="AE29" s="434"/>
      <c r="AF29" s="434"/>
      <c r="AG29" s="434"/>
    </row>
    <row r="30" spans="1:33">
      <c r="A30" s="452">
        <v>479027.68652208836</v>
      </c>
      <c r="B30" s="453" t="e">
        <f>A30/#REF!</f>
        <v>#REF!</v>
      </c>
      <c r="C30" s="454" t="s">
        <v>2889</v>
      </c>
      <c r="E30" s="487">
        <f>RESUMO!D34*1.2026</f>
        <v>588087.7673859999</v>
      </c>
      <c r="F30" s="487">
        <f>F27+E30</f>
        <v>26479897.018553998</v>
      </c>
      <c r="G30" s="488">
        <f t="shared" si="0"/>
        <v>1.9771322778862354E-2</v>
      </c>
      <c r="H30" s="489">
        <f>H27+G30</f>
        <v>0.89024567443728375</v>
      </c>
      <c r="I30" s="490" t="s">
        <v>2889</v>
      </c>
      <c r="J30" s="491" t="s">
        <v>1210</v>
      </c>
      <c r="K30" s="492"/>
      <c r="L30" s="492"/>
      <c r="M30" s="492"/>
      <c r="N30" s="493"/>
      <c r="P30" s="434"/>
      <c r="Q30" s="434"/>
      <c r="R30" s="434"/>
      <c r="S30" s="434"/>
      <c r="T30" s="434"/>
      <c r="U30" s="434"/>
      <c r="V30" s="434"/>
      <c r="W30" s="434"/>
      <c r="X30" s="434"/>
      <c r="Y30" s="434"/>
      <c r="Z30" s="434"/>
      <c r="AA30" s="434"/>
      <c r="AB30" s="434"/>
      <c r="AC30" s="434"/>
      <c r="AD30" s="434"/>
      <c r="AE30" s="434"/>
      <c r="AF30" s="434"/>
      <c r="AG30" s="434"/>
    </row>
    <row r="31" spans="1:33">
      <c r="A31" s="452">
        <v>186550.7426</v>
      </c>
      <c r="B31" s="453" t="e">
        <f>A31/#REF!</f>
        <v>#REF!</v>
      </c>
      <c r="C31" s="454" t="s">
        <v>2889</v>
      </c>
      <c r="E31" s="487">
        <f>RESUMO!D41*1.2026</f>
        <v>498131.95249999996</v>
      </c>
      <c r="F31" s="487">
        <f t="shared" si="1"/>
        <v>26978028.971053999</v>
      </c>
      <c r="G31" s="488">
        <f t="shared" si="0"/>
        <v>1.6747037033467273E-2</v>
      </c>
      <c r="H31" s="489">
        <f t="shared" si="2"/>
        <v>0.906992711470751</v>
      </c>
      <c r="I31" s="490" t="s">
        <v>2889</v>
      </c>
      <c r="J31" s="491" t="s">
        <v>532</v>
      </c>
      <c r="K31" s="492"/>
      <c r="L31" s="492"/>
      <c r="M31" s="492"/>
      <c r="N31" s="493"/>
      <c r="P31" s="434"/>
      <c r="Q31" s="434"/>
      <c r="R31" s="434"/>
      <c r="S31" s="434"/>
      <c r="T31" s="434"/>
      <c r="U31" s="434"/>
      <c r="V31" s="434"/>
      <c r="W31" s="434"/>
      <c r="X31" s="434"/>
      <c r="Y31" s="434"/>
      <c r="Z31" s="434"/>
      <c r="AA31" s="434"/>
      <c r="AB31" s="434"/>
      <c r="AC31" s="434"/>
      <c r="AD31" s="434"/>
      <c r="AE31" s="434"/>
      <c r="AF31" s="434"/>
      <c r="AG31" s="434"/>
    </row>
    <row r="32" spans="1:33">
      <c r="A32" s="452">
        <v>459713.87006775197</v>
      </c>
      <c r="B32" s="453" t="e">
        <f>A32/#REF!</f>
        <v>#REF!</v>
      </c>
      <c r="C32" s="454" t="s">
        <v>2889</v>
      </c>
      <c r="E32" s="487">
        <f>RESUMO!D29*1.2026</f>
        <v>460942.124748</v>
      </c>
      <c r="F32" s="487">
        <f t="shared" si="1"/>
        <v>27438971.095801998</v>
      </c>
      <c r="G32" s="488">
        <f t="shared" si="0"/>
        <v>1.5496726910807532E-2</v>
      </c>
      <c r="H32" s="489">
        <f t="shared" si="2"/>
        <v>0.9224894383815585</v>
      </c>
      <c r="I32" s="490" t="s">
        <v>2889</v>
      </c>
      <c r="J32" s="491" t="s">
        <v>404</v>
      </c>
      <c r="K32" s="492"/>
      <c r="L32" s="492"/>
      <c r="M32" s="492"/>
      <c r="N32" s="493"/>
      <c r="P32" s="434"/>
      <c r="Q32" s="434"/>
      <c r="R32" s="434"/>
      <c r="S32" s="434"/>
      <c r="T32" s="434"/>
      <c r="U32" s="434"/>
      <c r="V32" s="434"/>
      <c r="W32" s="434"/>
      <c r="X32" s="434"/>
      <c r="Y32" s="434"/>
      <c r="Z32" s="434"/>
      <c r="AA32" s="434"/>
      <c r="AB32" s="434"/>
      <c r="AC32" s="434"/>
      <c r="AD32" s="434"/>
      <c r="AE32" s="434"/>
      <c r="AF32" s="434"/>
      <c r="AG32" s="434"/>
    </row>
    <row r="33" spans="1:33">
      <c r="A33" s="452">
        <v>30876.926125363447</v>
      </c>
      <c r="B33" s="453" t="e">
        <f>A33/#REF!</f>
        <v>#REF!</v>
      </c>
      <c r="C33" s="454" t="s">
        <v>2889</v>
      </c>
      <c r="E33" s="487">
        <f>RESUMO!D50*1.2026</f>
        <v>288681.40009799995</v>
      </c>
      <c r="F33" s="487">
        <f t="shared" si="1"/>
        <v>27727652.495899998</v>
      </c>
      <c r="G33" s="488">
        <f t="shared" si="0"/>
        <v>9.7053764048881993E-3</v>
      </c>
      <c r="H33" s="489">
        <f t="shared" si="2"/>
        <v>0.93219481478644672</v>
      </c>
      <c r="I33" s="490" t="s">
        <v>2889</v>
      </c>
      <c r="J33" s="491" t="s">
        <v>902</v>
      </c>
      <c r="K33" s="492"/>
      <c r="L33" s="492"/>
      <c r="M33" s="492"/>
      <c r="N33" s="493"/>
      <c r="P33" s="434"/>
      <c r="Q33" s="434"/>
      <c r="R33" s="434"/>
      <c r="S33" s="434"/>
      <c r="T33" s="434"/>
      <c r="U33" s="434"/>
      <c r="V33" s="434"/>
      <c r="W33" s="434"/>
      <c r="X33" s="434"/>
      <c r="Y33" s="434"/>
      <c r="Z33" s="434"/>
      <c r="AA33" s="434"/>
      <c r="AB33" s="434"/>
      <c r="AC33" s="434"/>
      <c r="AD33" s="434"/>
      <c r="AE33" s="434"/>
      <c r="AF33" s="434"/>
      <c r="AG33" s="434"/>
    </row>
    <row r="34" spans="1:33">
      <c r="A34" s="452">
        <v>1799679.8621658853</v>
      </c>
      <c r="B34" s="453" t="e">
        <f>A34/#REF!</f>
        <v>#REF!</v>
      </c>
      <c r="C34" s="454" t="s">
        <v>2890</v>
      </c>
      <c r="E34" s="487">
        <f>RESUMO!D28*1.2026</f>
        <v>251908.03272599998</v>
      </c>
      <c r="F34" s="487">
        <f t="shared" si="1"/>
        <v>27979560.528625999</v>
      </c>
      <c r="G34" s="488">
        <f t="shared" si="0"/>
        <v>8.4690675470977909E-3</v>
      </c>
      <c r="H34" s="489">
        <f t="shared" si="2"/>
        <v>0.94066388233354448</v>
      </c>
      <c r="I34" s="490" t="s">
        <v>2889</v>
      </c>
      <c r="J34" s="491" t="s">
        <v>2896</v>
      </c>
      <c r="K34" s="492"/>
      <c r="L34" s="492"/>
      <c r="M34" s="492"/>
      <c r="N34" s="493"/>
      <c r="P34" s="434"/>
      <c r="Q34" s="434"/>
      <c r="R34" s="434"/>
      <c r="S34" s="434"/>
      <c r="T34" s="434"/>
      <c r="U34" s="434"/>
      <c r="V34" s="434"/>
      <c r="W34" s="434"/>
      <c r="X34" s="434"/>
      <c r="Y34" s="434"/>
      <c r="Z34" s="434"/>
      <c r="AA34" s="434"/>
      <c r="AB34" s="434"/>
      <c r="AC34" s="434"/>
      <c r="AD34" s="434"/>
      <c r="AE34" s="434"/>
      <c r="AF34" s="434"/>
      <c r="AG34" s="434"/>
    </row>
    <row r="35" spans="1:33">
      <c r="A35" s="452">
        <v>132876.02893617869</v>
      </c>
      <c r="B35" s="453" t="e">
        <f>A35/#REF!</f>
        <v>#REF!</v>
      </c>
      <c r="C35" s="454" t="s">
        <v>2889</v>
      </c>
      <c r="E35" s="487">
        <f>RESUMO!D33*1.2026</f>
        <v>233530.78944999998</v>
      </c>
      <c r="F35" s="487">
        <f t="shared" si="1"/>
        <v>28213091.318076</v>
      </c>
      <c r="G35" s="488">
        <f t="shared" si="0"/>
        <v>7.8512305017695069E-3</v>
      </c>
      <c r="H35" s="489">
        <f t="shared" si="2"/>
        <v>0.94851511283531398</v>
      </c>
      <c r="I35" s="490" t="s">
        <v>2889</v>
      </c>
      <c r="J35" s="491" t="s">
        <v>442</v>
      </c>
      <c r="K35" s="492"/>
      <c r="L35" s="492"/>
      <c r="M35" s="492"/>
      <c r="N35" s="493"/>
      <c r="P35" s="434"/>
      <c r="Q35" s="434"/>
      <c r="R35" s="434"/>
      <c r="S35" s="434"/>
      <c r="T35" s="434"/>
      <c r="U35" s="434"/>
      <c r="V35" s="434"/>
      <c r="W35" s="434"/>
      <c r="X35" s="434"/>
      <c r="Y35" s="434"/>
      <c r="Z35" s="434"/>
      <c r="AA35" s="434"/>
      <c r="AB35" s="434"/>
      <c r="AC35" s="434"/>
      <c r="AD35" s="434"/>
      <c r="AE35" s="434"/>
      <c r="AF35" s="434"/>
      <c r="AG35" s="434"/>
    </row>
    <row r="36" spans="1:33">
      <c r="A36" s="452">
        <v>77509.336880302304</v>
      </c>
      <c r="B36" s="453" t="e">
        <f>A36/#REF!</f>
        <v>#REF!</v>
      </c>
      <c r="C36" s="454" t="s">
        <v>2889</v>
      </c>
      <c r="E36" s="487">
        <f>RESUMO!D30*1.2026</f>
        <v>206320.61753799999</v>
      </c>
      <c r="F36" s="487">
        <f t="shared" si="1"/>
        <v>28419411.935614001</v>
      </c>
      <c r="G36" s="488">
        <f t="shared" si="0"/>
        <v>6.9364332188201153E-3</v>
      </c>
      <c r="H36" s="489">
        <f t="shared" si="2"/>
        <v>0.95545154605413407</v>
      </c>
      <c r="I36" s="490" t="s">
        <v>2889</v>
      </c>
      <c r="J36" s="491" t="s">
        <v>417</v>
      </c>
      <c r="K36" s="492"/>
      <c r="L36" s="492"/>
      <c r="M36" s="492"/>
      <c r="N36" s="493"/>
      <c r="P36" s="434"/>
      <c r="Q36" s="434"/>
      <c r="R36" s="434"/>
      <c r="S36" s="434"/>
      <c r="T36" s="434"/>
      <c r="U36" s="434"/>
      <c r="V36" s="434"/>
      <c r="W36" s="434"/>
      <c r="X36" s="434"/>
      <c r="Y36" s="434"/>
      <c r="Z36" s="434"/>
      <c r="AA36" s="434"/>
      <c r="AB36" s="434"/>
      <c r="AC36" s="434"/>
      <c r="AD36" s="434"/>
      <c r="AE36" s="434"/>
      <c r="AF36" s="434"/>
      <c r="AG36" s="434"/>
    </row>
    <row r="37" spans="1:33">
      <c r="A37" s="452">
        <v>6424.3860999999997</v>
      </c>
      <c r="B37" s="453" t="e">
        <f>A37/#REF!</f>
        <v>#REF!</v>
      </c>
      <c r="C37" s="454" t="s">
        <v>2889</v>
      </c>
      <c r="E37" s="487">
        <f>RESUMO!D40*1.2026</f>
        <v>184340.09603799999</v>
      </c>
      <c r="F37" s="487">
        <f t="shared" si="1"/>
        <v>28603752.031652</v>
      </c>
      <c r="G37" s="488">
        <f t="shared" si="0"/>
        <v>6.1974551112564903E-3</v>
      </c>
      <c r="H37" s="489">
        <f t="shared" si="2"/>
        <v>0.96164900116539054</v>
      </c>
      <c r="I37" s="490" t="s">
        <v>2889</v>
      </c>
      <c r="J37" s="491" t="s">
        <v>525</v>
      </c>
      <c r="K37" s="492"/>
      <c r="L37" s="492"/>
      <c r="M37" s="492"/>
      <c r="N37" s="493"/>
      <c r="P37" s="434"/>
      <c r="Q37" s="434"/>
      <c r="R37" s="434"/>
      <c r="S37" s="434"/>
      <c r="T37" s="434"/>
      <c r="U37" s="434"/>
      <c r="V37" s="434"/>
      <c r="W37" s="434"/>
      <c r="X37" s="434"/>
      <c r="Y37" s="434"/>
      <c r="Z37" s="434"/>
      <c r="AA37" s="434"/>
      <c r="AB37" s="434"/>
      <c r="AC37" s="434"/>
      <c r="AD37" s="434"/>
      <c r="AE37" s="434"/>
      <c r="AF37" s="434"/>
      <c r="AG37" s="434"/>
    </row>
    <row r="38" spans="1:33">
      <c r="A38" s="452">
        <v>366765.09969435603</v>
      </c>
      <c r="B38" s="453" t="e">
        <f>A38/#REF!</f>
        <v>#REF!</v>
      </c>
      <c r="C38" s="454" t="s">
        <v>2889</v>
      </c>
      <c r="E38" s="487">
        <f>RESUMO!D53*1.2026</f>
        <v>170481.53808</v>
      </c>
      <c r="F38" s="487">
        <f>F39+E38</f>
        <v>28937893.623884</v>
      </c>
      <c r="G38" s="488">
        <f t="shared" si="0"/>
        <v>5.7315348220875707E-3</v>
      </c>
      <c r="H38" s="489">
        <f>H39+G38</f>
        <v>0.97288273470014308</v>
      </c>
      <c r="I38" s="490" t="s">
        <v>2889</v>
      </c>
      <c r="J38" s="491" t="s">
        <v>987</v>
      </c>
      <c r="K38" s="492"/>
      <c r="L38" s="492"/>
      <c r="M38" s="492"/>
      <c r="N38" s="493"/>
      <c r="P38" s="434"/>
      <c r="Q38" s="434"/>
      <c r="R38" s="434"/>
      <c r="S38" s="434"/>
      <c r="T38" s="434"/>
      <c r="U38" s="434"/>
      <c r="V38" s="434"/>
      <c r="W38" s="434"/>
      <c r="X38" s="434"/>
      <c r="Y38" s="434"/>
      <c r="Z38" s="434"/>
      <c r="AA38" s="434"/>
      <c r="AB38" s="434"/>
      <c r="AC38" s="434"/>
      <c r="AD38" s="434"/>
      <c r="AE38" s="434"/>
      <c r="AF38" s="434"/>
      <c r="AG38" s="434"/>
    </row>
    <row r="39" spans="1:33">
      <c r="A39" s="452">
        <v>144540.32629999999</v>
      </c>
      <c r="B39" s="453" t="e">
        <f>A39/#REF!</f>
        <v>#REF!</v>
      </c>
      <c r="C39" s="454" t="s">
        <v>2889</v>
      </c>
      <c r="E39" s="487">
        <f>RESUMO!D37*1.2026</f>
        <v>163660.054152</v>
      </c>
      <c r="F39" s="487">
        <f>F37+E39</f>
        <v>28767412.085804</v>
      </c>
      <c r="G39" s="488">
        <f t="shared" si="0"/>
        <v>5.5021987126650015E-3</v>
      </c>
      <c r="H39" s="489">
        <f>H37+G39</f>
        <v>0.96715119987805553</v>
      </c>
      <c r="I39" s="490" t="s">
        <v>2889</v>
      </c>
      <c r="J39" s="491" t="s">
        <v>497</v>
      </c>
      <c r="K39" s="492"/>
      <c r="L39" s="492"/>
      <c r="M39" s="492"/>
      <c r="N39" s="493"/>
      <c r="P39" s="434"/>
      <c r="Q39" s="434"/>
      <c r="R39" s="434"/>
      <c r="S39" s="434"/>
      <c r="T39" s="434"/>
      <c r="U39" s="434"/>
      <c r="V39" s="434"/>
      <c r="W39" s="434"/>
      <c r="X39" s="434"/>
      <c r="Y39" s="434"/>
      <c r="Z39" s="434"/>
      <c r="AA39" s="434"/>
      <c r="AB39" s="434"/>
      <c r="AC39" s="434"/>
      <c r="AD39" s="434"/>
      <c r="AE39" s="434"/>
      <c r="AF39" s="434"/>
      <c r="AG39" s="434"/>
    </row>
    <row r="40" spans="1:33">
      <c r="A40" s="452">
        <v>4802.2302</v>
      </c>
      <c r="B40" s="453" t="e">
        <f>A40/#REF!</f>
        <v>#REF!</v>
      </c>
      <c r="C40" s="454" t="s">
        <v>2889</v>
      </c>
      <c r="E40" s="487">
        <f>RESUMO!D47*1.2026</f>
        <v>146284.74503999998</v>
      </c>
      <c r="F40" s="487">
        <f>F38+E40</f>
        <v>29084178.368923999</v>
      </c>
      <c r="G40" s="488">
        <f t="shared" si="0"/>
        <v>4.9180463736989413E-3</v>
      </c>
      <c r="H40" s="489">
        <f>H38+G40</f>
        <v>0.97780078107384205</v>
      </c>
      <c r="I40" s="490" t="s">
        <v>2889</v>
      </c>
      <c r="J40" s="491" t="s">
        <v>723</v>
      </c>
      <c r="K40" s="492"/>
      <c r="L40" s="492"/>
      <c r="M40" s="492"/>
      <c r="N40" s="493"/>
      <c r="P40" s="434"/>
      <c r="Q40" s="434"/>
      <c r="R40" s="434"/>
      <c r="S40" s="434"/>
      <c r="T40" s="434"/>
      <c r="U40" s="434"/>
      <c r="V40" s="434"/>
      <c r="W40" s="434"/>
      <c r="X40" s="434"/>
      <c r="Y40" s="434"/>
      <c r="Z40" s="434"/>
      <c r="AA40" s="434"/>
      <c r="AB40" s="434"/>
      <c r="AC40" s="434"/>
      <c r="AD40" s="434"/>
      <c r="AE40" s="434"/>
      <c r="AF40" s="434"/>
      <c r="AG40" s="434"/>
    </row>
    <row r="41" spans="1:33">
      <c r="A41" s="452" t="s">
        <v>1154</v>
      </c>
      <c r="B41" s="453"/>
      <c r="C41" s="454"/>
      <c r="E41" s="487">
        <f>RESUMO!D45*1.2026</f>
        <v>145592.94938999999</v>
      </c>
      <c r="F41" s="487">
        <f t="shared" si="1"/>
        <v>29229771.318314001</v>
      </c>
      <c r="G41" s="488">
        <f t="shared" si="0"/>
        <v>4.8947884250530116E-3</v>
      </c>
      <c r="H41" s="489">
        <f t="shared" si="2"/>
        <v>0.98269556949889503</v>
      </c>
      <c r="I41" s="490" t="s">
        <v>2889</v>
      </c>
      <c r="J41" s="491" t="s">
        <v>659</v>
      </c>
      <c r="K41" s="492"/>
      <c r="L41" s="492"/>
      <c r="M41" s="492"/>
      <c r="N41" s="493"/>
      <c r="P41" s="434"/>
      <c r="Q41" s="434"/>
      <c r="R41" s="434"/>
      <c r="S41" s="434"/>
      <c r="T41" s="434"/>
      <c r="U41" s="434"/>
      <c r="V41" s="434"/>
      <c r="W41" s="434"/>
      <c r="X41" s="434"/>
      <c r="Y41" s="434"/>
      <c r="Z41" s="434"/>
      <c r="AA41" s="434"/>
      <c r="AB41" s="434"/>
      <c r="AC41" s="434"/>
      <c r="AD41" s="434"/>
      <c r="AE41" s="434"/>
      <c r="AF41" s="434"/>
      <c r="AG41" s="434"/>
    </row>
    <row r="42" spans="1:33">
      <c r="A42" s="452">
        <v>28805.423261050557</v>
      </c>
      <c r="B42" s="453" t="e">
        <f>A42/#REF!</f>
        <v>#REF!</v>
      </c>
      <c r="C42" s="454" t="s">
        <v>2889</v>
      </c>
      <c r="E42" s="487">
        <f>RESUMO!D58*1.2026</f>
        <v>91869.945201999974</v>
      </c>
      <c r="F42" s="487">
        <f t="shared" si="1"/>
        <v>29321641.263516001</v>
      </c>
      <c r="G42" s="488">
        <f t="shared" si="0"/>
        <v>3.0886381948375475E-3</v>
      </c>
      <c r="H42" s="489">
        <f t="shared" si="2"/>
        <v>0.98578420769373254</v>
      </c>
      <c r="I42" s="490" t="s">
        <v>2889</v>
      </c>
      <c r="J42" s="491" t="s">
        <v>2897</v>
      </c>
      <c r="K42" s="492"/>
      <c r="L42" s="492"/>
      <c r="M42" s="492"/>
      <c r="N42" s="493"/>
      <c r="P42" s="434"/>
      <c r="Q42" s="434"/>
      <c r="R42" s="434"/>
      <c r="S42" s="434"/>
      <c r="T42" s="434"/>
      <c r="U42" s="434"/>
      <c r="V42" s="434"/>
      <c r="W42" s="434"/>
      <c r="X42" s="434"/>
      <c r="Y42" s="434"/>
      <c r="Z42" s="434"/>
      <c r="AA42" s="434"/>
      <c r="AB42" s="434"/>
      <c r="AC42" s="434"/>
      <c r="AD42" s="434"/>
      <c r="AE42" s="434"/>
      <c r="AF42" s="434"/>
      <c r="AG42" s="434"/>
    </row>
    <row r="43" spans="1:33">
      <c r="A43" s="452">
        <v>116780.2396736197</v>
      </c>
      <c r="B43" s="453" t="e">
        <f>A43/#REF!</f>
        <v>#REF!</v>
      </c>
      <c r="C43" s="454" t="s">
        <v>2889</v>
      </c>
      <c r="E43" s="487">
        <f>RESUMO!D38*1.2026</f>
        <v>85465.342563999991</v>
      </c>
      <c r="F43" s="487">
        <f t="shared" si="1"/>
        <v>29407106.606080003</v>
      </c>
      <c r="G43" s="488">
        <f t="shared" si="0"/>
        <v>2.8733175011439864E-3</v>
      </c>
      <c r="H43" s="489">
        <f t="shared" si="2"/>
        <v>0.98865752519487649</v>
      </c>
      <c r="I43" s="490" t="s">
        <v>2889</v>
      </c>
      <c r="J43" s="491" t="s">
        <v>512</v>
      </c>
      <c r="K43" s="492"/>
      <c r="L43" s="492"/>
      <c r="M43" s="492"/>
      <c r="N43" s="493"/>
      <c r="P43" s="434"/>
      <c r="Q43" s="434"/>
      <c r="R43" s="434"/>
      <c r="S43" s="434"/>
      <c r="T43" s="434"/>
      <c r="U43" s="434"/>
      <c r="V43" s="434"/>
      <c r="W43" s="434"/>
      <c r="X43" s="434"/>
      <c r="Y43" s="434"/>
      <c r="Z43" s="434"/>
      <c r="AA43" s="434"/>
      <c r="AB43" s="434"/>
      <c r="AC43" s="434"/>
      <c r="AD43" s="434"/>
      <c r="AE43" s="434"/>
      <c r="AF43" s="434"/>
      <c r="AG43" s="434"/>
    </row>
    <row r="44" spans="1:33">
      <c r="A44" s="452">
        <v>130892.84715244456</v>
      </c>
      <c r="B44" s="453" t="e">
        <f>A44/#REF!</f>
        <v>#REF!</v>
      </c>
      <c r="C44" s="454" t="s">
        <v>2889</v>
      </c>
      <c r="E44" s="487">
        <f>RESUMO!D52*1.2026</f>
        <v>71471.540209999992</v>
      </c>
      <c r="F44" s="487">
        <f>F46+E44</f>
        <v>29540491.902740005</v>
      </c>
      <c r="G44" s="488">
        <f t="shared" si="0"/>
        <v>2.4028503386074504E-3</v>
      </c>
      <c r="H44" s="489">
        <f>H46+G44</f>
        <v>0.99314189623687466</v>
      </c>
      <c r="I44" s="490" t="s">
        <v>2889</v>
      </c>
      <c r="J44" s="491" t="s">
        <v>2898</v>
      </c>
      <c r="K44" s="492"/>
      <c r="L44" s="492"/>
      <c r="M44" s="492"/>
      <c r="N44" s="493"/>
      <c r="P44" s="434"/>
      <c r="Q44" s="434"/>
      <c r="R44" s="434"/>
      <c r="S44" s="434"/>
      <c r="T44" s="434"/>
      <c r="U44" s="434"/>
      <c r="V44" s="434"/>
      <c r="W44" s="434"/>
      <c r="X44" s="434"/>
      <c r="Y44" s="434"/>
      <c r="Z44" s="434"/>
      <c r="AA44" s="434"/>
      <c r="AB44" s="434"/>
      <c r="AC44" s="434"/>
      <c r="AD44" s="434"/>
      <c r="AE44" s="434"/>
      <c r="AF44" s="434"/>
      <c r="AG44" s="434"/>
    </row>
    <row r="45" spans="1:33">
      <c r="A45" s="452" t="s">
        <v>1154</v>
      </c>
      <c r="B45" s="453"/>
      <c r="C45" s="454"/>
      <c r="E45" s="487">
        <f>RESUMO!D51*1.2026</f>
        <v>68304.865915999995</v>
      </c>
      <c r="F45" s="487">
        <f>F44+E45</f>
        <v>29608796.768656004</v>
      </c>
      <c r="G45" s="488">
        <f t="shared" si="0"/>
        <v>2.2963877609543E-3</v>
      </c>
      <c r="H45" s="489">
        <f>H44+G45</f>
        <v>0.99543828399782897</v>
      </c>
      <c r="I45" s="490" t="s">
        <v>2889</v>
      </c>
      <c r="J45" s="491" t="s">
        <v>2899</v>
      </c>
      <c r="K45" s="492"/>
      <c r="L45" s="492"/>
      <c r="M45" s="492"/>
      <c r="N45" s="493"/>
      <c r="P45" s="434"/>
      <c r="Q45" s="434"/>
      <c r="R45" s="434"/>
      <c r="S45" s="434"/>
      <c r="T45" s="434"/>
      <c r="U45" s="434"/>
      <c r="V45" s="434"/>
      <c r="W45" s="434"/>
      <c r="X45" s="434"/>
      <c r="Y45" s="434"/>
      <c r="Z45" s="434"/>
      <c r="AA45" s="434"/>
      <c r="AB45" s="434"/>
      <c r="AC45" s="434"/>
      <c r="AD45" s="434"/>
      <c r="AE45" s="434"/>
      <c r="AF45" s="434"/>
      <c r="AG45" s="434"/>
    </row>
    <row r="46" spans="1:33">
      <c r="A46" s="452">
        <v>472704.87586715131</v>
      </c>
      <c r="B46" s="453" t="e">
        <f>A46/#REF!</f>
        <v>#REF!</v>
      </c>
      <c r="C46" s="454" t="s">
        <v>2889</v>
      </c>
      <c r="E46" s="487">
        <f>RESUMO!D55*1.2026</f>
        <v>61913.756449999993</v>
      </c>
      <c r="F46" s="487">
        <f>F43+E46</f>
        <v>29469020.362530004</v>
      </c>
      <c r="G46" s="488">
        <f t="shared" si="0"/>
        <v>2.0815207033907813E-3</v>
      </c>
      <c r="H46" s="489">
        <f>H43+G46</f>
        <v>0.99073904589826722</v>
      </c>
      <c r="I46" s="490" t="s">
        <v>2889</v>
      </c>
      <c r="J46" s="491" t="s">
        <v>1871</v>
      </c>
      <c r="K46" s="492"/>
      <c r="L46" s="492"/>
      <c r="M46" s="492"/>
      <c r="N46" s="493"/>
      <c r="P46" s="434"/>
      <c r="Q46" s="434"/>
      <c r="R46" s="434"/>
      <c r="S46" s="434"/>
      <c r="T46" s="434"/>
      <c r="U46" s="434"/>
      <c r="V46" s="434"/>
      <c r="W46" s="434"/>
      <c r="X46" s="434"/>
      <c r="Y46" s="434"/>
      <c r="Z46" s="434"/>
      <c r="AA46" s="434"/>
      <c r="AB46" s="434"/>
      <c r="AC46" s="434"/>
      <c r="AD46" s="434"/>
      <c r="AE46" s="434"/>
      <c r="AF46" s="434"/>
      <c r="AG46" s="434"/>
    </row>
    <row r="47" spans="1:33">
      <c r="A47" s="452">
        <v>44985.03443</v>
      </c>
      <c r="B47" s="453" t="e">
        <f>A47/#REF!</f>
        <v>#REF!</v>
      </c>
      <c r="C47" s="454" t="s">
        <v>2889</v>
      </c>
      <c r="E47" s="487">
        <f>RESUMO!D44*1.2026</f>
        <v>41325.172293999996</v>
      </c>
      <c r="F47" s="487">
        <f>F49+E47</f>
        <v>29724236.350998003</v>
      </c>
      <c r="G47" s="488">
        <f t="shared" si="0"/>
        <v>1.3893390844507887E-3</v>
      </c>
      <c r="H47" s="489">
        <f>H49+G47</f>
        <v>0.99931932586014449</v>
      </c>
      <c r="I47" s="490" t="s">
        <v>2889</v>
      </c>
      <c r="J47" s="491" t="s">
        <v>570</v>
      </c>
      <c r="K47" s="492"/>
      <c r="L47" s="492"/>
      <c r="M47" s="492"/>
      <c r="N47" s="493"/>
      <c r="P47" s="434"/>
      <c r="Q47" s="434"/>
      <c r="R47" s="434"/>
      <c r="S47" s="434"/>
      <c r="T47" s="434"/>
      <c r="U47" s="434"/>
      <c r="V47" s="434"/>
      <c r="W47" s="434"/>
      <c r="X47" s="434"/>
      <c r="Y47" s="434"/>
      <c r="Z47" s="434"/>
      <c r="AA47" s="434"/>
      <c r="AB47" s="434"/>
      <c r="AC47" s="434"/>
      <c r="AD47" s="434"/>
      <c r="AE47" s="434"/>
      <c r="AF47" s="434"/>
      <c r="AG47" s="434"/>
    </row>
    <row r="48" spans="1:33">
      <c r="A48" s="452">
        <v>629529.99037401041</v>
      </c>
      <c r="B48" s="453" t="e">
        <f>A48/#REF!</f>
        <v>#REF!</v>
      </c>
      <c r="C48" s="454" t="s">
        <v>2891</v>
      </c>
      <c r="E48" s="487">
        <f>RESUMO!D35*1.2026</f>
        <v>38162.803308000002</v>
      </c>
      <c r="F48" s="487">
        <f>F45+E48</f>
        <v>29646959.571964003</v>
      </c>
      <c r="G48" s="488">
        <f t="shared" si="0"/>
        <v>1.2830212498765646E-3</v>
      </c>
      <c r="H48" s="489">
        <f>H45+G48</f>
        <v>0.99672130524770552</v>
      </c>
      <c r="I48" s="490" t="s">
        <v>2889</v>
      </c>
      <c r="J48" s="491" t="s">
        <v>1211</v>
      </c>
      <c r="K48" s="492"/>
      <c r="L48" s="492"/>
      <c r="M48" s="492"/>
      <c r="N48" s="493"/>
      <c r="P48" s="434"/>
      <c r="Q48" s="434"/>
      <c r="R48" s="434"/>
      <c r="S48" s="434"/>
      <c r="T48" s="434"/>
      <c r="U48" s="434"/>
      <c r="V48" s="434"/>
      <c r="W48" s="434"/>
      <c r="X48" s="434"/>
      <c r="Y48" s="434"/>
      <c r="Z48" s="434"/>
      <c r="AA48" s="434"/>
      <c r="AB48" s="434"/>
      <c r="AC48" s="434"/>
      <c r="AD48" s="434"/>
      <c r="AE48" s="434"/>
      <c r="AF48" s="434"/>
      <c r="AG48" s="434"/>
    </row>
    <row r="49" spans="1:33">
      <c r="A49" s="452">
        <v>244440.49000000002</v>
      </c>
      <c r="B49" s="453" t="e">
        <f>A49/#REF!</f>
        <v>#REF!</v>
      </c>
      <c r="C49" s="454" t="s">
        <v>2889</v>
      </c>
      <c r="E49" s="487">
        <f>RESUMO!D56*1.2026</f>
        <v>35951.606739999996</v>
      </c>
      <c r="F49" s="487">
        <f t="shared" si="1"/>
        <v>29682911.178704005</v>
      </c>
      <c r="G49" s="488">
        <f t="shared" si="0"/>
        <v>1.2086815279881724E-3</v>
      </c>
      <c r="H49" s="489">
        <f t="shared" si="2"/>
        <v>0.99792998677569367</v>
      </c>
      <c r="I49" s="490" t="s">
        <v>2889</v>
      </c>
      <c r="J49" s="491" t="s">
        <v>1035</v>
      </c>
      <c r="K49" s="492"/>
      <c r="L49" s="492"/>
      <c r="M49" s="492"/>
      <c r="N49" s="493"/>
      <c r="P49" s="434"/>
      <c r="Q49" s="434"/>
      <c r="R49" s="434"/>
      <c r="S49" s="434"/>
      <c r="T49" s="434"/>
      <c r="U49" s="434"/>
      <c r="V49" s="434"/>
      <c r="W49" s="434"/>
      <c r="X49" s="434"/>
      <c r="Y49" s="434"/>
      <c r="Z49" s="434"/>
      <c r="AA49" s="434"/>
      <c r="AB49" s="434"/>
      <c r="AC49" s="434"/>
      <c r="AD49" s="434"/>
      <c r="AE49" s="434"/>
      <c r="AF49" s="434"/>
      <c r="AG49" s="434"/>
    </row>
    <row r="50" spans="1:33">
      <c r="A50" s="452">
        <v>47078.443073256938</v>
      </c>
      <c r="B50" s="453" t="e">
        <f>A50/#REF!</f>
        <v>#REF!</v>
      </c>
      <c r="C50" s="454" t="s">
        <v>2889</v>
      </c>
      <c r="E50" s="487">
        <f>RESUMO!D39*1.2026</f>
        <v>8368.6769319999985</v>
      </c>
      <c r="F50" s="487">
        <f>F47+E50</f>
        <v>29732605.027930003</v>
      </c>
      <c r="G50" s="488">
        <f t="shared" si="0"/>
        <v>2.8135224371363186E-4</v>
      </c>
      <c r="H50" s="489">
        <f>H47+G50</f>
        <v>0.99960067810385811</v>
      </c>
      <c r="I50" s="490" t="s">
        <v>2889</v>
      </c>
      <c r="J50" s="491" t="s">
        <v>515</v>
      </c>
      <c r="K50" s="492"/>
      <c r="L50" s="492"/>
      <c r="M50" s="492"/>
      <c r="N50" s="493"/>
      <c r="P50" s="434"/>
      <c r="Q50" s="434"/>
      <c r="R50" s="434"/>
      <c r="S50" s="434"/>
      <c r="T50" s="434"/>
      <c r="U50" s="434"/>
      <c r="V50" s="434"/>
      <c r="W50" s="434"/>
      <c r="X50" s="434"/>
      <c r="Y50" s="434"/>
      <c r="Z50" s="434"/>
      <c r="AA50" s="434"/>
      <c r="AB50" s="434"/>
      <c r="AC50" s="434"/>
      <c r="AD50" s="434"/>
      <c r="AE50" s="434"/>
      <c r="AF50" s="434"/>
      <c r="AG50" s="434"/>
    </row>
    <row r="51" spans="1:33">
      <c r="A51" s="452">
        <v>132610.38346615419</v>
      </c>
      <c r="B51" s="453" t="e">
        <f>A51/#REF!</f>
        <v>#REF!</v>
      </c>
      <c r="C51" s="454" t="s">
        <v>2889</v>
      </c>
      <c r="E51" s="487">
        <f>RESUMO!D42*1.2026</f>
        <v>5775.1497719999998</v>
      </c>
      <c r="F51" s="487">
        <f t="shared" si="1"/>
        <v>29738380.177702002</v>
      </c>
      <c r="G51" s="488">
        <f t="shared" si="0"/>
        <v>1.941586895201309E-4</v>
      </c>
      <c r="H51" s="489">
        <f t="shared" si="2"/>
        <v>0.99979483679337822</v>
      </c>
      <c r="I51" s="490" t="s">
        <v>2889</v>
      </c>
      <c r="J51" s="491" t="s">
        <v>561</v>
      </c>
      <c r="K51" s="492"/>
      <c r="L51" s="492"/>
      <c r="M51" s="492"/>
      <c r="N51" s="493"/>
      <c r="P51" s="434"/>
      <c r="Q51" s="434"/>
      <c r="R51" s="434"/>
      <c r="S51" s="434"/>
      <c r="T51" s="434"/>
      <c r="U51" s="434"/>
      <c r="V51" s="434"/>
      <c r="W51" s="434"/>
      <c r="X51" s="434"/>
      <c r="Y51" s="434"/>
      <c r="Z51" s="434"/>
      <c r="AA51" s="434"/>
      <c r="AB51" s="434"/>
      <c r="AC51" s="434"/>
      <c r="AD51" s="434"/>
      <c r="AE51" s="434"/>
      <c r="AF51" s="434"/>
      <c r="AG51" s="434"/>
    </row>
    <row r="52" spans="1:33">
      <c r="A52" s="452" t="s">
        <v>1154</v>
      </c>
      <c r="B52" s="453"/>
      <c r="C52" s="454"/>
      <c r="E52" s="494">
        <f>RESUMO!D18*1.2026</f>
        <v>6102.4734399999988</v>
      </c>
      <c r="F52" s="494">
        <f t="shared" si="1"/>
        <v>29744482.651142001</v>
      </c>
      <c r="G52" s="495">
        <f t="shared" si="0"/>
        <v>2.0516320662130266E-4</v>
      </c>
      <c r="H52" s="495">
        <f t="shared" si="2"/>
        <v>0.99999999999999956</v>
      </c>
      <c r="I52" s="496" t="s">
        <v>2889</v>
      </c>
      <c r="J52" s="497" t="s">
        <v>2900</v>
      </c>
      <c r="K52" s="498"/>
      <c r="L52" s="498"/>
      <c r="M52" s="498"/>
      <c r="N52" s="499"/>
      <c r="P52" s="434"/>
      <c r="Q52" s="434"/>
      <c r="R52" s="434"/>
      <c r="S52" s="434"/>
      <c r="T52" s="434"/>
      <c r="U52" s="434"/>
      <c r="V52" s="434"/>
      <c r="W52" s="434"/>
      <c r="X52" s="434"/>
      <c r="Y52" s="434"/>
      <c r="Z52" s="434"/>
      <c r="AA52" s="434"/>
      <c r="AB52" s="434"/>
      <c r="AC52" s="434"/>
      <c r="AD52" s="434"/>
      <c r="AE52" s="434"/>
      <c r="AF52" s="434"/>
      <c r="AG52" s="434"/>
    </row>
    <row r="53" spans="1:33">
      <c r="A53" s="452">
        <v>52760.75</v>
      </c>
      <c r="B53" s="453" t="e">
        <f>A53/#REF!</f>
        <v>#REF!</v>
      </c>
      <c r="C53" s="454" t="s">
        <v>2889</v>
      </c>
      <c r="E53" s="500"/>
      <c r="F53" s="501"/>
      <c r="G53" s="502"/>
      <c r="H53" s="502"/>
      <c r="I53" s="502"/>
      <c r="P53" s="434"/>
      <c r="Q53" s="434"/>
      <c r="R53" s="434"/>
      <c r="S53" s="434"/>
      <c r="T53" s="434"/>
      <c r="U53" s="434"/>
      <c r="V53" s="434"/>
      <c r="W53" s="434"/>
      <c r="X53" s="434"/>
      <c r="Y53" s="434"/>
      <c r="Z53" s="434"/>
      <c r="AA53" s="434"/>
      <c r="AB53" s="434"/>
      <c r="AC53" s="434"/>
      <c r="AD53" s="434"/>
      <c r="AE53" s="434"/>
      <c r="AF53" s="434"/>
      <c r="AG53" s="434"/>
    </row>
    <row r="54" spans="1:33">
      <c r="A54" s="452">
        <v>30736.656439999999</v>
      </c>
      <c r="B54" s="453" t="e">
        <f>A54/#REF!</f>
        <v>#REF!</v>
      </c>
      <c r="C54" s="454" t="s">
        <v>2889</v>
      </c>
      <c r="G54" s="503" t="s">
        <v>2901</v>
      </c>
      <c r="H54" s="504" t="s">
        <v>1158</v>
      </c>
      <c r="I54" s="502"/>
      <c r="P54" s="434"/>
      <c r="Q54" s="434"/>
      <c r="R54" s="434"/>
      <c r="S54" s="434"/>
      <c r="T54" s="434"/>
      <c r="U54" s="434"/>
      <c r="V54" s="434"/>
      <c r="W54" s="434"/>
      <c r="X54" s="434"/>
      <c r="Y54" s="434"/>
      <c r="Z54" s="434"/>
      <c r="AA54" s="434"/>
      <c r="AB54" s="434"/>
      <c r="AC54" s="434"/>
      <c r="AD54" s="434"/>
      <c r="AE54" s="434"/>
      <c r="AF54" s="434"/>
      <c r="AG54" s="434"/>
    </row>
    <row r="55" spans="1:33">
      <c r="A55" s="452">
        <v>508105.32374027948</v>
      </c>
      <c r="B55" s="453" t="e">
        <f>A55/#REF!</f>
        <v>#REF!</v>
      </c>
      <c r="C55" s="454" t="s">
        <v>2891</v>
      </c>
      <c r="G55" s="505" t="s">
        <v>2890</v>
      </c>
      <c r="H55" s="506">
        <v>0.5</v>
      </c>
      <c r="I55" s="502"/>
      <c r="P55" s="434"/>
      <c r="Q55" s="434"/>
      <c r="R55" s="434"/>
      <c r="S55" s="434"/>
      <c r="T55" s="434"/>
      <c r="U55" s="434"/>
      <c r="V55" s="434"/>
      <c r="W55" s="434"/>
      <c r="X55" s="434"/>
      <c r="Y55" s="434"/>
      <c r="Z55" s="434"/>
      <c r="AA55" s="434"/>
      <c r="AB55" s="434"/>
      <c r="AC55" s="434"/>
      <c r="AD55" s="434"/>
      <c r="AE55" s="434"/>
      <c r="AF55" s="434"/>
      <c r="AG55" s="434"/>
    </row>
    <row r="56" spans="1:33">
      <c r="A56" s="452">
        <v>84969.878689011268</v>
      </c>
      <c r="B56" s="453" t="e">
        <f>A56/#REF!</f>
        <v>#REF!</v>
      </c>
      <c r="C56" s="454" t="s">
        <v>2889</v>
      </c>
      <c r="G56" s="505" t="s">
        <v>2891</v>
      </c>
      <c r="H56" s="506">
        <v>0.8</v>
      </c>
      <c r="I56" s="502"/>
      <c r="P56" s="434"/>
      <c r="Q56" s="434"/>
      <c r="R56" s="434"/>
      <c r="S56" s="434"/>
      <c r="T56" s="434"/>
      <c r="U56" s="434"/>
      <c r="V56" s="434"/>
      <c r="W56" s="434"/>
      <c r="X56" s="434"/>
      <c r="Y56" s="434"/>
      <c r="Z56" s="434"/>
      <c r="AA56" s="434"/>
      <c r="AB56" s="434"/>
      <c r="AC56" s="434"/>
      <c r="AD56" s="434"/>
      <c r="AE56" s="434"/>
      <c r="AF56" s="434"/>
      <c r="AG56" s="434"/>
    </row>
    <row r="57" spans="1:33">
      <c r="A57" s="507">
        <v>935316.85120000003</v>
      </c>
      <c r="B57" s="508" t="e">
        <f>A57/#REF!</f>
        <v>#REF!</v>
      </c>
      <c r="C57" s="509" t="s">
        <v>2891</v>
      </c>
      <c r="G57" s="510" t="s">
        <v>2889</v>
      </c>
      <c r="H57" s="511">
        <v>1</v>
      </c>
      <c r="I57" s="502"/>
      <c r="P57" s="434"/>
      <c r="Q57" s="434"/>
      <c r="R57" s="434"/>
      <c r="S57" s="434"/>
      <c r="T57" s="434"/>
      <c r="U57" s="434"/>
      <c r="V57" s="434"/>
      <c r="W57" s="434"/>
      <c r="X57" s="434"/>
      <c r="Y57" s="434"/>
      <c r="Z57" s="434"/>
      <c r="AA57" s="434"/>
      <c r="AB57" s="434"/>
      <c r="AC57" s="434"/>
      <c r="AD57" s="434"/>
      <c r="AE57" s="434"/>
      <c r="AF57" s="434"/>
      <c r="AG57" s="434"/>
    </row>
    <row r="58" spans="1:33" ht="20.100000000000001" customHeight="1">
      <c r="P58" s="434"/>
      <c r="Q58" s="434"/>
      <c r="R58" s="434"/>
      <c r="S58" s="434"/>
      <c r="T58" s="434"/>
      <c r="U58" s="434"/>
      <c r="V58" s="434"/>
      <c r="W58" s="434"/>
      <c r="X58" s="434"/>
      <c r="Y58" s="434"/>
      <c r="Z58" s="434"/>
      <c r="AA58" s="434"/>
      <c r="AB58" s="434"/>
      <c r="AC58" s="434"/>
      <c r="AD58" s="434"/>
      <c r="AE58" s="434"/>
      <c r="AF58" s="434"/>
      <c r="AG58" s="434"/>
    </row>
    <row r="59" spans="1:33" ht="20.100000000000001" customHeight="1">
      <c r="P59" s="434"/>
      <c r="Q59" s="434"/>
      <c r="R59" s="434"/>
      <c r="S59" s="434"/>
      <c r="T59" s="434"/>
      <c r="U59" s="434"/>
      <c r="V59" s="434"/>
      <c r="W59" s="434"/>
      <c r="X59" s="434"/>
      <c r="Y59" s="434"/>
      <c r="Z59" s="434"/>
      <c r="AA59" s="434"/>
      <c r="AB59" s="434"/>
      <c r="AC59" s="434"/>
      <c r="AD59" s="434"/>
      <c r="AE59" s="434"/>
      <c r="AF59" s="434"/>
      <c r="AG59" s="434"/>
    </row>
    <row r="60" spans="1:33" ht="20.100000000000001" customHeight="1">
      <c r="P60" s="434"/>
      <c r="Q60" s="434"/>
      <c r="R60" s="434"/>
      <c r="S60" s="434"/>
      <c r="T60" s="434"/>
      <c r="U60" s="434"/>
      <c r="V60" s="434"/>
      <c r="W60" s="434"/>
      <c r="X60" s="434"/>
      <c r="Y60" s="434"/>
      <c r="Z60" s="434"/>
      <c r="AA60" s="434"/>
      <c r="AB60" s="434"/>
      <c r="AC60" s="434"/>
      <c r="AD60" s="434"/>
      <c r="AE60" s="434"/>
      <c r="AF60" s="434"/>
      <c r="AG60" s="434"/>
    </row>
    <row r="61" spans="1:33">
      <c r="P61" s="434"/>
      <c r="Q61" s="434"/>
      <c r="R61" s="434"/>
      <c r="S61" s="434"/>
      <c r="T61" s="434"/>
      <c r="U61" s="434"/>
      <c r="V61" s="434"/>
      <c r="W61" s="434"/>
      <c r="X61" s="434"/>
      <c r="Y61" s="434"/>
      <c r="Z61" s="434"/>
      <c r="AA61" s="434"/>
      <c r="AB61" s="434"/>
      <c r="AC61" s="434"/>
      <c r="AD61" s="434"/>
      <c r="AE61" s="434"/>
      <c r="AF61" s="434"/>
      <c r="AG61" s="434"/>
    </row>
    <row r="62" spans="1:33">
      <c r="P62" s="434"/>
      <c r="Q62" s="434"/>
      <c r="R62" s="434"/>
      <c r="S62" s="434"/>
      <c r="T62" s="434"/>
      <c r="U62" s="434"/>
      <c r="V62" s="434"/>
      <c r="W62" s="434"/>
      <c r="X62" s="434"/>
      <c r="Y62" s="434"/>
      <c r="Z62" s="434"/>
      <c r="AA62" s="434"/>
      <c r="AB62" s="434"/>
      <c r="AC62" s="434"/>
      <c r="AD62" s="434"/>
      <c r="AE62" s="434"/>
      <c r="AF62" s="434"/>
      <c r="AG62" s="434"/>
    </row>
    <row r="63" spans="1:33">
      <c r="P63" s="434"/>
      <c r="Q63" s="434"/>
      <c r="R63" s="434"/>
      <c r="S63" s="434"/>
      <c r="T63" s="434"/>
      <c r="U63" s="434"/>
      <c r="V63" s="434"/>
      <c r="W63" s="434"/>
      <c r="X63" s="434"/>
      <c r="Y63" s="434"/>
      <c r="Z63" s="434"/>
      <c r="AA63" s="434"/>
      <c r="AB63" s="434"/>
      <c r="AC63" s="434"/>
      <c r="AD63" s="434"/>
      <c r="AE63" s="434"/>
      <c r="AF63" s="434"/>
      <c r="AG63" s="434"/>
    </row>
    <row r="64" spans="1:33" ht="26.25" customHeight="1">
      <c r="P64" s="434"/>
      <c r="Q64" s="434"/>
      <c r="R64" s="434"/>
      <c r="S64" s="434"/>
      <c r="T64" s="434"/>
      <c r="U64" s="434"/>
      <c r="V64" s="434"/>
      <c r="W64" s="434"/>
      <c r="X64" s="434"/>
      <c r="Y64" s="434"/>
      <c r="Z64" s="434"/>
      <c r="AA64" s="434"/>
      <c r="AB64" s="434"/>
      <c r="AC64" s="434"/>
      <c r="AD64" s="434"/>
      <c r="AE64" s="434"/>
      <c r="AF64" s="434"/>
      <c r="AG64" s="434"/>
    </row>
    <row r="65" spans="3:33" ht="29.25" customHeight="1">
      <c r="P65" s="434"/>
      <c r="Q65" s="434"/>
      <c r="R65" s="434"/>
      <c r="S65" s="434"/>
      <c r="T65" s="434"/>
      <c r="U65" s="434"/>
      <c r="V65" s="434"/>
      <c r="W65" s="434"/>
      <c r="X65" s="434"/>
      <c r="Y65" s="434"/>
      <c r="Z65" s="434"/>
      <c r="AA65" s="434"/>
      <c r="AB65" s="434"/>
      <c r="AC65" s="434"/>
      <c r="AD65" s="434"/>
      <c r="AE65" s="434"/>
      <c r="AF65" s="434"/>
      <c r="AG65" s="434"/>
    </row>
    <row r="66" spans="3:33">
      <c r="P66" s="434"/>
      <c r="Q66" s="434"/>
      <c r="R66" s="434"/>
      <c r="S66" s="434"/>
      <c r="T66" s="434"/>
      <c r="U66" s="434"/>
      <c r="V66" s="434"/>
      <c r="W66" s="434"/>
      <c r="X66" s="434"/>
      <c r="Y66" s="434"/>
      <c r="Z66" s="434"/>
      <c r="AA66" s="434"/>
      <c r="AB66" s="434"/>
      <c r="AC66" s="434"/>
      <c r="AD66" s="434"/>
      <c r="AE66" s="434"/>
      <c r="AF66" s="434"/>
      <c r="AG66" s="434"/>
    </row>
    <row r="67" spans="3:33" s="434" customFormat="1">
      <c r="C67" s="435"/>
    </row>
    <row r="68" spans="3:33" s="434" customFormat="1">
      <c r="C68" s="435"/>
    </row>
    <row r="69" spans="3:33" s="434" customFormat="1">
      <c r="C69" s="435"/>
    </row>
    <row r="70" spans="3:33" s="434" customFormat="1">
      <c r="C70" s="435"/>
    </row>
    <row r="71" spans="3:33" s="434" customFormat="1">
      <c r="C71" s="435"/>
    </row>
    <row r="72" spans="3:33" s="434" customFormat="1">
      <c r="C72" s="435"/>
    </row>
    <row r="73" spans="3:33" s="434" customFormat="1">
      <c r="C73" s="435"/>
    </row>
    <row r="74" spans="3:33" s="434" customFormat="1">
      <c r="C74" s="435"/>
    </row>
    <row r="75" spans="3:33" s="434" customFormat="1">
      <c r="C75" s="435"/>
    </row>
    <row r="76" spans="3:33" s="434" customFormat="1">
      <c r="C76" s="435"/>
    </row>
    <row r="77" spans="3:33" s="434" customFormat="1">
      <c r="C77" s="435"/>
    </row>
    <row r="78" spans="3:33" s="434" customFormat="1">
      <c r="C78" s="435"/>
    </row>
    <row r="79" spans="3:33" s="434" customFormat="1">
      <c r="C79" s="435"/>
    </row>
    <row r="80" spans="3:33" s="434" customFormat="1">
      <c r="C80" s="435"/>
    </row>
    <row r="81" spans="3:3" s="434" customFormat="1">
      <c r="C81" s="435"/>
    </row>
    <row r="82" spans="3:3" s="434" customFormat="1">
      <c r="C82" s="435"/>
    </row>
    <row r="83" spans="3:3" s="434" customFormat="1">
      <c r="C83" s="435"/>
    </row>
    <row r="84" spans="3:3" s="434" customFormat="1">
      <c r="C84" s="435"/>
    </row>
    <row r="85" spans="3:3" s="434" customFormat="1">
      <c r="C85" s="435"/>
    </row>
    <row r="86" spans="3:3" s="434" customFormat="1">
      <c r="C86" s="435"/>
    </row>
    <row r="87" spans="3:3" s="434" customFormat="1">
      <c r="C87" s="435"/>
    </row>
    <row r="88" spans="3:3" s="434" customFormat="1">
      <c r="C88" s="435"/>
    </row>
    <row r="89" spans="3:3" s="434" customFormat="1">
      <c r="C89" s="435"/>
    </row>
    <row r="90" spans="3:3" s="434" customFormat="1">
      <c r="C90" s="435"/>
    </row>
    <row r="91" spans="3:3" s="434" customFormat="1">
      <c r="C91" s="435"/>
    </row>
    <row r="92" spans="3:3" s="434" customFormat="1">
      <c r="C92" s="435"/>
    </row>
    <row r="93" spans="3:3" s="434" customFormat="1">
      <c r="C93" s="435"/>
    </row>
    <row r="94" spans="3:3" s="434" customFormat="1" ht="19.5" customHeight="1">
      <c r="C94" s="435"/>
    </row>
    <row r="95" spans="3:3" s="434" customFormat="1">
      <c r="C95" s="435"/>
    </row>
    <row r="96" spans="3:3" s="434" customFormat="1">
      <c r="C96" s="435"/>
    </row>
    <row r="97" spans="3:3" s="434" customFormat="1">
      <c r="C97" s="435"/>
    </row>
    <row r="98" spans="3:3" s="434" customFormat="1">
      <c r="C98" s="435"/>
    </row>
    <row r="99" spans="3:3" s="434" customFormat="1">
      <c r="C99" s="435"/>
    </row>
    <row r="100" spans="3:3" s="434" customFormat="1">
      <c r="C100" s="435"/>
    </row>
    <row r="101" spans="3:3" s="434" customFormat="1">
      <c r="C101" s="435"/>
    </row>
    <row r="102" spans="3:3" s="434" customFormat="1">
      <c r="C102" s="435"/>
    </row>
    <row r="103" spans="3:3" s="434" customFormat="1">
      <c r="C103" s="435"/>
    </row>
    <row r="104" spans="3:3" s="434" customFormat="1">
      <c r="C104" s="435"/>
    </row>
    <row r="105" spans="3:3" s="434" customFormat="1">
      <c r="C105" s="435"/>
    </row>
    <row r="106" spans="3:3" s="434" customFormat="1">
      <c r="C106" s="435"/>
    </row>
    <row r="107" spans="3:3" s="434" customFormat="1">
      <c r="C107" s="435"/>
    </row>
    <row r="108" spans="3:3" s="434" customFormat="1">
      <c r="C108" s="435"/>
    </row>
    <row r="109" spans="3:3" s="434" customFormat="1">
      <c r="C109" s="435"/>
    </row>
    <row r="110" spans="3:3" s="434" customFormat="1">
      <c r="C110" s="435"/>
    </row>
    <row r="111" spans="3:3" s="434" customFormat="1">
      <c r="C111" s="435"/>
    </row>
    <row r="112" spans="3:3" s="434" customFormat="1">
      <c r="C112" s="435"/>
    </row>
    <row r="113" spans="3:33" s="434" customFormat="1">
      <c r="C113" s="435"/>
    </row>
    <row r="114" spans="3:33">
      <c r="P114" s="434"/>
      <c r="Q114" s="434"/>
      <c r="R114" s="434"/>
      <c r="S114" s="434"/>
      <c r="T114" s="434"/>
      <c r="U114" s="434"/>
      <c r="V114" s="434"/>
      <c r="W114" s="434"/>
      <c r="X114" s="434"/>
      <c r="Y114" s="434"/>
      <c r="Z114" s="434"/>
      <c r="AA114" s="434"/>
      <c r="AB114" s="434"/>
      <c r="AC114" s="434"/>
      <c r="AD114" s="434"/>
      <c r="AE114" s="434"/>
      <c r="AF114" s="434"/>
      <c r="AG114" s="434"/>
    </row>
    <row r="115" spans="3:33">
      <c r="P115" s="434"/>
      <c r="Q115" s="434"/>
      <c r="R115" s="434"/>
      <c r="S115" s="434"/>
      <c r="T115" s="434"/>
      <c r="U115" s="434"/>
      <c r="V115" s="434"/>
      <c r="W115" s="434"/>
      <c r="X115" s="434"/>
      <c r="Y115" s="434"/>
      <c r="Z115" s="434"/>
      <c r="AA115" s="434"/>
      <c r="AB115" s="434"/>
      <c r="AC115" s="434"/>
      <c r="AD115" s="434"/>
      <c r="AE115" s="434"/>
      <c r="AF115" s="434"/>
      <c r="AG115" s="434"/>
    </row>
    <row r="116" spans="3:33">
      <c r="P116" s="434"/>
      <c r="Q116" s="434"/>
      <c r="R116" s="434"/>
      <c r="S116" s="434"/>
      <c r="T116" s="434"/>
      <c r="U116" s="434"/>
      <c r="V116" s="434"/>
      <c r="W116" s="434"/>
      <c r="X116" s="434"/>
      <c r="Y116" s="434"/>
      <c r="Z116" s="434"/>
      <c r="AA116" s="434"/>
      <c r="AB116" s="434"/>
      <c r="AC116" s="434"/>
      <c r="AD116" s="434"/>
      <c r="AE116" s="434"/>
      <c r="AF116" s="434"/>
      <c r="AG116" s="434"/>
    </row>
    <row r="117" spans="3:33">
      <c r="P117" s="434"/>
      <c r="Q117" s="434"/>
      <c r="R117" s="434"/>
      <c r="S117" s="434"/>
      <c r="T117" s="434"/>
      <c r="U117" s="434"/>
      <c r="V117" s="434"/>
      <c r="W117" s="434"/>
      <c r="X117" s="434"/>
      <c r="Y117" s="434"/>
      <c r="Z117" s="434"/>
      <c r="AA117" s="434"/>
      <c r="AB117" s="434"/>
      <c r="AC117" s="434"/>
      <c r="AD117" s="434"/>
      <c r="AE117" s="434"/>
      <c r="AF117" s="434"/>
      <c r="AG117" s="434"/>
    </row>
    <row r="118" spans="3:33">
      <c r="P118" s="434"/>
      <c r="Q118" s="434"/>
      <c r="R118" s="434"/>
      <c r="S118" s="434"/>
      <c r="T118" s="434"/>
      <c r="U118" s="434"/>
      <c r="V118" s="434"/>
      <c r="W118" s="434"/>
      <c r="X118" s="434"/>
      <c r="Y118" s="434"/>
      <c r="Z118" s="434"/>
      <c r="AA118" s="434"/>
      <c r="AB118" s="434"/>
      <c r="AC118" s="434"/>
      <c r="AD118" s="434"/>
      <c r="AE118" s="434"/>
      <c r="AF118" s="434"/>
      <c r="AG118" s="434"/>
    </row>
    <row r="119" spans="3:33">
      <c r="P119" s="434"/>
      <c r="Q119" s="434"/>
      <c r="R119" s="434"/>
      <c r="S119" s="434"/>
      <c r="T119" s="434"/>
      <c r="U119" s="434"/>
      <c r="V119" s="434"/>
      <c r="W119" s="434"/>
      <c r="X119" s="434"/>
      <c r="Y119" s="434"/>
      <c r="Z119" s="434"/>
      <c r="AA119" s="434"/>
      <c r="AB119" s="434"/>
      <c r="AC119" s="434"/>
      <c r="AD119" s="434"/>
      <c r="AE119" s="434"/>
      <c r="AF119" s="434"/>
      <c r="AG119" s="434"/>
    </row>
    <row r="120" spans="3:33">
      <c r="P120" s="434"/>
      <c r="Q120" s="434"/>
      <c r="R120" s="434"/>
      <c r="S120" s="434"/>
      <c r="T120" s="434"/>
      <c r="U120" s="434"/>
      <c r="V120" s="434"/>
      <c r="W120" s="434"/>
      <c r="X120" s="434"/>
      <c r="Y120" s="434"/>
      <c r="Z120" s="434"/>
      <c r="AA120" s="434"/>
      <c r="AB120" s="434"/>
      <c r="AC120" s="434"/>
      <c r="AD120" s="434"/>
      <c r="AE120" s="434"/>
      <c r="AF120" s="434"/>
      <c r="AG120" s="434"/>
    </row>
    <row r="121" spans="3:33">
      <c r="P121" s="434"/>
      <c r="Q121" s="434"/>
      <c r="R121" s="434"/>
      <c r="S121" s="434"/>
      <c r="T121" s="434"/>
      <c r="U121" s="434"/>
      <c r="V121" s="434"/>
      <c r="W121" s="434"/>
      <c r="X121" s="434"/>
      <c r="Y121" s="434"/>
      <c r="Z121" s="434"/>
      <c r="AA121" s="434"/>
      <c r="AB121" s="434"/>
      <c r="AC121" s="434"/>
      <c r="AD121" s="434"/>
      <c r="AE121" s="434"/>
      <c r="AF121" s="434"/>
      <c r="AG121" s="434"/>
    </row>
    <row r="122" spans="3:33">
      <c r="P122" s="434"/>
      <c r="Q122" s="434"/>
      <c r="R122" s="434"/>
      <c r="S122" s="434"/>
      <c r="T122" s="434"/>
      <c r="U122" s="434"/>
      <c r="V122" s="434"/>
      <c r="W122" s="434"/>
      <c r="X122" s="434"/>
      <c r="Y122" s="434"/>
      <c r="Z122" s="434"/>
      <c r="AA122" s="434"/>
      <c r="AB122" s="434"/>
      <c r="AC122" s="434"/>
      <c r="AD122" s="434"/>
      <c r="AE122" s="434"/>
      <c r="AF122" s="434"/>
      <c r="AG122" s="434"/>
    </row>
    <row r="123" spans="3:33">
      <c r="P123" s="434"/>
      <c r="Q123" s="434"/>
      <c r="R123" s="434"/>
      <c r="S123" s="434"/>
      <c r="T123" s="434"/>
      <c r="U123" s="434"/>
      <c r="V123" s="434"/>
      <c r="W123" s="434"/>
      <c r="X123" s="434"/>
      <c r="Y123" s="434"/>
      <c r="Z123" s="434"/>
      <c r="AA123" s="434"/>
      <c r="AB123" s="434"/>
      <c r="AC123" s="434"/>
      <c r="AD123" s="434"/>
      <c r="AE123" s="434"/>
      <c r="AF123" s="434"/>
      <c r="AG123" s="434"/>
    </row>
    <row r="124" spans="3:33">
      <c r="P124" s="434"/>
      <c r="Q124" s="434"/>
      <c r="R124" s="434"/>
      <c r="S124" s="434"/>
      <c r="T124" s="434"/>
      <c r="U124" s="434"/>
      <c r="V124" s="434"/>
      <c r="W124" s="434"/>
      <c r="X124" s="434"/>
      <c r="Y124" s="434"/>
      <c r="Z124" s="434"/>
      <c r="AA124" s="434"/>
      <c r="AB124" s="434"/>
      <c r="AC124" s="434"/>
      <c r="AD124" s="434"/>
      <c r="AE124" s="434"/>
      <c r="AF124" s="434"/>
      <c r="AG124" s="434"/>
    </row>
    <row r="125" spans="3:33">
      <c r="P125" s="434"/>
      <c r="Q125" s="434"/>
      <c r="R125" s="434"/>
      <c r="S125" s="434"/>
      <c r="T125" s="434"/>
      <c r="U125" s="434"/>
      <c r="V125" s="434"/>
      <c r="W125" s="434"/>
      <c r="X125" s="434"/>
      <c r="Y125" s="434"/>
      <c r="Z125" s="434"/>
      <c r="AA125" s="434"/>
      <c r="AB125" s="434"/>
      <c r="AC125" s="434"/>
      <c r="AD125" s="434"/>
      <c r="AE125" s="434"/>
      <c r="AF125" s="434"/>
      <c r="AG125" s="434"/>
    </row>
    <row r="126" spans="3:33">
      <c r="P126" s="434"/>
      <c r="Q126" s="434"/>
      <c r="R126" s="434"/>
      <c r="S126" s="434"/>
      <c r="T126" s="434"/>
      <c r="U126" s="434"/>
      <c r="V126" s="434"/>
      <c r="W126" s="434"/>
      <c r="X126" s="434"/>
      <c r="Y126" s="434"/>
      <c r="Z126" s="434"/>
      <c r="AA126" s="434"/>
      <c r="AB126" s="434"/>
      <c r="AC126" s="434"/>
      <c r="AD126" s="434"/>
      <c r="AE126" s="434"/>
      <c r="AF126" s="434"/>
      <c r="AG126" s="434"/>
    </row>
    <row r="127" spans="3:33">
      <c r="P127" s="434"/>
      <c r="Q127" s="434"/>
      <c r="R127" s="434"/>
      <c r="S127" s="434"/>
      <c r="T127" s="434"/>
      <c r="U127" s="434"/>
      <c r="V127" s="434"/>
      <c r="W127" s="434"/>
      <c r="X127" s="434"/>
      <c r="Y127" s="434"/>
      <c r="Z127" s="434"/>
      <c r="AA127" s="434"/>
      <c r="AB127" s="434"/>
      <c r="AC127" s="434"/>
      <c r="AD127" s="434"/>
      <c r="AE127" s="434"/>
      <c r="AF127" s="434"/>
      <c r="AG127" s="434"/>
    </row>
    <row r="128" spans="3:33">
      <c r="P128" s="434"/>
      <c r="Q128" s="434"/>
      <c r="R128" s="434"/>
      <c r="S128" s="434"/>
      <c r="T128" s="434"/>
      <c r="U128" s="434"/>
      <c r="V128" s="434"/>
      <c r="W128" s="434"/>
      <c r="X128" s="434"/>
      <c r="Y128" s="434"/>
      <c r="Z128" s="434"/>
      <c r="AA128" s="434"/>
      <c r="AB128" s="434"/>
      <c r="AC128" s="434"/>
      <c r="AD128" s="434"/>
      <c r="AE128" s="434"/>
      <c r="AF128" s="434"/>
      <c r="AG128" s="434"/>
    </row>
    <row r="129" spans="16:33">
      <c r="P129" s="434"/>
      <c r="Q129" s="434"/>
      <c r="R129" s="434"/>
      <c r="S129" s="434"/>
      <c r="T129" s="434"/>
      <c r="U129" s="434"/>
      <c r="V129" s="434"/>
      <c r="W129" s="434"/>
      <c r="X129" s="434"/>
      <c r="Y129" s="434"/>
      <c r="Z129" s="434"/>
      <c r="AA129" s="434"/>
      <c r="AB129" s="434"/>
      <c r="AC129" s="434"/>
      <c r="AD129" s="434"/>
      <c r="AE129" s="434"/>
      <c r="AF129" s="434"/>
      <c r="AG129" s="434"/>
    </row>
    <row r="130" spans="16:33">
      <c r="P130" s="434"/>
      <c r="Q130" s="434"/>
      <c r="R130" s="434"/>
      <c r="S130" s="434"/>
      <c r="T130" s="434"/>
      <c r="U130" s="434"/>
      <c r="V130" s="434"/>
      <c r="W130" s="434"/>
      <c r="X130" s="434"/>
      <c r="Y130" s="434"/>
      <c r="Z130" s="434"/>
      <c r="AA130" s="434"/>
      <c r="AB130" s="434"/>
      <c r="AC130" s="434"/>
      <c r="AD130" s="434"/>
      <c r="AE130" s="434"/>
      <c r="AF130" s="434"/>
      <c r="AG130" s="434"/>
    </row>
    <row r="131" spans="16:33">
      <c r="P131" s="434"/>
      <c r="Q131" s="434"/>
      <c r="R131" s="434"/>
      <c r="S131" s="434"/>
      <c r="T131" s="434"/>
      <c r="U131" s="434"/>
      <c r="V131" s="434"/>
      <c r="W131" s="434"/>
      <c r="X131" s="434"/>
      <c r="Y131" s="434"/>
      <c r="Z131" s="434"/>
      <c r="AA131" s="434"/>
      <c r="AB131" s="434"/>
      <c r="AC131" s="434"/>
      <c r="AD131" s="434"/>
      <c r="AE131" s="434"/>
      <c r="AF131" s="434"/>
      <c r="AG131" s="434"/>
    </row>
    <row r="132" spans="16:33">
      <c r="P132" s="434"/>
      <c r="Q132" s="434"/>
      <c r="R132" s="434"/>
      <c r="S132" s="434"/>
      <c r="T132" s="434"/>
      <c r="U132" s="434"/>
      <c r="V132" s="434"/>
      <c r="W132" s="434"/>
      <c r="X132" s="434"/>
      <c r="Y132" s="434"/>
      <c r="Z132" s="434"/>
      <c r="AA132" s="434"/>
      <c r="AB132" s="434"/>
      <c r="AC132" s="434"/>
      <c r="AD132" s="434"/>
      <c r="AE132" s="434"/>
      <c r="AF132" s="434"/>
      <c r="AG132" s="434"/>
    </row>
    <row r="133" spans="16:33">
      <c r="P133" s="434"/>
      <c r="Q133" s="434"/>
      <c r="R133" s="434"/>
      <c r="S133" s="434"/>
      <c r="T133" s="434"/>
      <c r="U133" s="434"/>
      <c r="V133" s="434"/>
      <c r="W133" s="434"/>
      <c r="X133" s="434"/>
      <c r="Y133" s="434"/>
      <c r="Z133" s="434"/>
      <c r="AA133" s="434"/>
      <c r="AB133" s="434"/>
      <c r="AC133" s="434"/>
      <c r="AD133" s="434"/>
      <c r="AE133" s="434"/>
      <c r="AF133" s="434"/>
      <c r="AG133" s="434"/>
    </row>
    <row r="134" spans="16:33">
      <c r="P134" s="434"/>
      <c r="Q134" s="434"/>
      <c r="R134" s="434"/>
      <c r="S134" s="434"/>
      <c r="T134" s="434"/>
      <c r="U134" s="434"/>
      <c r="V134" s="434"/>
      <c r="W134" s="434"/>
      <c r="X134" s="434"/>
      <c r="Y134" s="434"/>
      <c r="Z134" s="434"/>
      <c r="AA134" s="434"/>
      <c r="AB134" s="434"/>
      <c r="AC134" s="434"/>
      <c r="AD134" s="434"/>
      <c r="AE134" s="434"/>
      <c r="AF134" s="434"/>
      <c r="AG134" s="434"/>
    </row>
    <row r="135" spans="16:33">
      <c r="P135" s="434"/>
      <c r="Q135" s="434"/>
      <c r="R135" s="434"/>
      <c r="S135" s="434"/>
      <c r="T135" s="434"/>
      <c r="U135" s="434"/>
      <c r="V135" s="434"/>
      <c r="W135" s="434"/>
      <c r="X135" s="434"/>
      <c r="Y135" s="434"/>
      <c r="Z135" s="434"/>
      <c r="AA135" s="434"/>
      <c r="AB135" s="434"/>
      <c r="AC135" s="434"/>
      <c r="AD135" s="434"/>
      <c r="AE135" s="434"/>
      <c r="AF135" s="434"/>
      <c r="AG135" s="434"/>
    </row>
    <row r="136" spans="16:33">
      <c r="P136" s="434"/>
      <c r="Q136" s="434"/>
      <c r="R136" s="434"/>
      <c r="S136" s="434"/>
      <c r="T136" s="434"/>
      <c r="U136" s="434"/>
      <c r="V136" s="434"/>
      <c r="W136" s="434"/>
      <c r="X136" s="434"/>
      <c r="Y136" s="434"/>
      <c r="Z136" s="434"/>
      <c r="AA136" s="434"/>
      <c r="AB136" s="434"/>
      <c r="AC136" s="434"/>
      <c r="AD136" s="434"/>
      <c r="AE136" s="434"/>
      <c r="AF136" s="434"/>
      <c r="AG136" s="434"/>
    </row>
    <row r="137" spans="16:33">
      <c r="P137" s="434"/>
      <c r="Q137" s="434"/>
      <c r="R137" s="434"/>
      <c r="S137" s="434"/>
      <c r="T137" s="434"/>
      <c r="U137" s="434"/>
      <c r="V137" s="434"/>
      <c r="W137" s="434"/>
      <c r="X137" s="434"/>
      <c r="Y137" s="434"/>
      <c r="Z137" s="434"/>
      <c r="AA137" s="434"/>
      <c r="AB137" s="434"/>
      <c r="AC137" s="434"/>
      <c r="AD137" s="434"/>
      <c r="AE137" s="434"/>
      <c r="AF137" s="434"/>
      <c r="AG137" s="434"/>
    </row>
    <row r="138" spans="16:33">
      <c r="P138" s="434"/>
      <c r="Q138" s="434"/>
      <c r="R138" s="434"/>
      <c r="S138" s="434"/>
      <c r="T138" s="434"/>
      <c r="U138" s="434"/>
      <c r="V138" s="434"/>
      <c r="W138" s="434"/>
      <c r="X138" s="434"/>
      <c r="Y138" s="434"/>
      <c r="Z138" s="434"/>
      <c r="AA138" s="434"/>
      <c r="AB138" s="434"/>
      <c r="AC138" s="434"/>
      <c r="AD138" s="434"/>
      <c r="AE138" s="434"/>
      <c r="AF138" s="434"/>
      <c r="AG138" s="434"/>
    </row>
    <row r="139" spans="16:33">
      <c r="P139" s="434"/>
      <c r="Q139" s="434"/>
      <c r="R139" s="434"/>
      <c r="S139" s="434"/>
      <c r="T139" s="434"/>
      <c r="U139" s="434"/>
      <c r="V139" s="434"/>
      <c r="W139" s="434"/>
      <c r="X139" s="434"/>
      <c r="Y139" s="434"/>
      <c r="Z139" s="434"/>
      <c r="AA139" s="434"/>
      <c r="AB139" s="434"/>
      <c r="AC139" s="434"/>
      <c r="AD139" s="434"/>
      <c r="AE139" s="434"/>
      <c r="AF139" s="434"/>
      <c r="AG139" s="434"/>
    </row>
    <row r="140" spans="16:33">
      <c r="P140" s="434"/>
      <c r="Q140" s="434"/>
      <c r="R140" s="434"/>
      <c r="S140" s="434"/>
      <c r="T140" s="434"/>
      <c r="U140" s="434"/>
      <c r="V140" s="434"/>
      <c r="W140" s="434"/>
      <c r="X140" s="434"/>
      <c r="Y140" s="434"/>
      <c r="Z140" s="434"/>
      <c r="AA140" s="434"/>
      <c r="AB140" s="434"/>
      <c r="AC140" s="434"/>
      <c r="AD140" s="434"/>
      <c r="AE140" s="434"/>
      <c r="AF140" s="434"/>
      <c r="AG140" s="434"/>
    </row>
    <row r="141" spans="16:33">
      <c r="P141" s="434"/>
      <c r="Q141" s="434"/>
      <c r="R141" s="434"/>
      <c r="S141" s="434"/>
      <c r="T141" s="434"/>
      <c r="U141" s="434"/>
      <c r="V141" s="434"/>
      <c r="W141" s="434"/>
      <c r="X141" s="434"/>
      <c r="Y141" s="434"/>
      <c r="Z141" s="434"/>
      <c r="AA141" s="434"/>
      <c r="AB141" s="434"/>
      <c r="AC141" s="434"/>
      <c r="AD141" s="434"/>
      <c r="AE141" s="434"/>
      <c r="AF141" s="434"/>
      <c r="AG141" s="434"/>
    </row>
    <row r="142" spans="16:33">
      <c r="P142" s="434"/>
      <c r="Q142" s="434"/>
      <c r="R142" s="434"/>
      <c r="S142" s="434"/>
      <c r="T142" s="434"/>
      <c r="U142" s="434"/>
      <c r="V142" s="434"/>
      <c r="W142" s="434"/>
      <c r="X142" s="434"/>
      <c r="Y142" s="434"/>
      <c r="Z142" s="434"/>
      <c r="AA142" s="434"/>
      <c r="AB142" s="434"/>
      <c r="AC142" s="434"/>
      <c r="AD142" s="434"/>
      <c r="AE142" s="434"/>
      <c r="AF142" s="434"/>
      <c r="AG142" s="434"/>
    </row>
    <row r="143" spans="16:33">
      <c r="P143" s="434"/>
      <c r="Q143" s="434"/>
      <c r="R143" s="434"/>
      <c r="S143" s="434"/>
      <c r="T143" s="434"/>
      <c r="U143" s="434"/>
      <c r="V143" s="434"/>
      <c r="W143" s="434"/>
      <c r="X143" s="434"/>
      <c r="Y143" s="434"/>
      <c r="Z143" s="434"/>
      <c r="AA143" s="434"/>
      <c r="AB143" s="434"/>
      <c r="AC143" s="434"/>
      <c r="AD143" s="434"/>
      <c r="AE143" s="434"/>
      <c r="AF143" s="434"/>
      <c r="AG143" s="434"/>
    </row>
    <row r="144" spans="16:33">
      <c r="P144" s="434"/>
      <c r="Q144" s="434"/>
      <c r="R144" s="434"/>
      <c r="S144" s="434"/>
      <c r="T144" s="434"/>
      <c r="U144" s="434"/>
      <c r="V144" s="434"/>
      <c r="W144" s="434"/>
      <c r="X144" s="434"/>
      <c r="Y144" s="434"/>
      <c r="Z144" s="434"/>
      <c r="AA144" s="434"/>
      <c r="AB144" s="434"/>
      <c r="AC144" s="434"/>
      <c r="AD144" s="434"/>
      <c r="AE144" s="434"/>
      <c r="AF144" s="434"/>
      <c r="AG144" s="434"/>
    </row>
    <row r="145" spans="16:33">
      <c r="P145" s="434"/>
      <c r="Q145" s="434"/>
      <c r="R145" s="434"/>
      <c r="S145" s="434"/>
      <c r="T145" s="434"/>
      <c r="U145" s="434"/>
      <c r="V145" s="434"/>
      <c r="W145" s="434"/>
      <c r="X145" s="434"/>
      <c r="Y145" s="434"/>
      <c r="Z145" s="434"/>
      <c r="AA145" s="434"/>
      <c r="AB145" s="434"/>
      <c r="AC145" s="434"/>
      <c r="AD145" s="434"/>
      <c r="AE145" s="434"/>
      <c r="AF145" s="434"/>
      <c r="AG145" s="434"/>
    </row>
    <row r="146" spans="16:33">
      <c r="P146" s="434"/>
      <c r="Q146" s="434"/>
      <c r="R146" s="434"/>
      <c r="S146" s="434"/>
      <c r="T146" s="434"/>
      <c r="U146" s="434"/>
      <c r="V146" s="434"/>
      <c r="W146" s="434"/>
      <c r="X146" s="434"/>
      <c r="Y146" s="434"/>
      <c r="Z146" s="434"/>
      <c r="AA146" s="434"/>
      <c r="AB146" s="434"/>
      <c r="AC146" s="434"/>
      <c r="AD146" s="434"/>
      <c r="AE146" s="434"/>
      <c r="AF146" s="434"/>
      <c r="AG146" s="434"/>
    </row>
    <row r="147" spans="16:33">
      <c r="P147" s="434"/>
      <c r="Q147" s="434"/>
      <c r="R147" s="434"/>
      <c r="S147" s="434"/>
      <c r="T147" s="434"/>
      <c r="U147" s="434"/>
      <c r="V147" s="434"/>
      <c r="W147" s="434"/>
      <c r="X147" s="434"/>
      <c r="Y147" s="434"/>
      <c r="Z147" s="434"/>
      <c r="AA147" s="434"/>
      <c r="AB147" s="434"/>
      <c r="AC147" s="434"/>
      <c r="AD147" s="434"/>
      <c r="AE147" s="434"/>
      <c r="AF147" s="434"/>
      <c r="AG147" s="434"/>
    </row>
    <row r="148" spans="16:33">
      <c r="P148" s="434"/>
      <c r="Q148" s="434"/>
      <c r="R148" s="434"/>
      <c r="S148" s="434"/>
      <c r="T148" s="434"/>
      <c r="U148" s="434"/>
      <c r="V148" s="434"/>
      <c r="W148" s="434"/>
      <c r="X148" s="434"/>
      <c r="Y148" s="434"/>
      <c r="Z148" s="434"/>
      <c r="AA148" s="434"/>
      <c r="AB148" s="434"/>
      <c r="AC148" s="434"/>
      <c r="AD148" s="434"/>
      <c r="AE148" s="434"/>
      <c r="AF148" s="434"/>
      <c r="AG148" s="434"/>
    </row>
    <row r="149" spans="16:33">
      <c r="P149" s="434"/>
      <c r="Q149" s="434"/>
      <c r="R149" s="434"/>
      <c r="S149" s="434"/>
      <c r="T149" s="434"/>
      <c r="U149" s="434"/>
      <c r="V149" s="434"/>
      <c r="W149" s="434"/>
      <c r="X149" s="434"/>
      <c r="Y149" s="434"/>
      <c r="Z149" s="434"/>
      <c r="AA149" s="434"/>
      <c r="AB149" s="434"/>
      <c r="AC149" s="434"/>
      <c r="AD149" s="434"/>
      <c r="AE149" s="434"/>
      <c r="AF149" s="434"/>
      <c r="AG149" s="434"/>
    </row>
    <row r="150" spans="16:33">
      <c r="P150" s="434"/>
      <c r="Q150" s="434"/>
      <c r="R150" s="434"/>
      <c r="S150" s="434"/>
      <c r="T150" s="434"/>
      <c r="U150" s="434"/>
      <c r="V150" s="434"/>
      <c r="W150" s="434"/>
      <c r="X150" s="434"/>
      <c r="Y150" s="434"/>
      <c r="Z150" s="434"/>
      <c r="AA150" s="434"/>
      <c r="AB150" s="434"/>
      <c r="AC150" s="434"/>
      <c r="AD150" s="434"/>
      <c r="AE150" s="434"/>
      <c r="AF150" s="434"/>
      <c r="AG150" s="434"/>
    </row>
    <row r="151" spans="16:33">
      <c r="P151" s="434"/>
      <c r="Q151" s="434"/>
      <c r="R151" s="434"/>
      <c r="S151" s="434"/>
      <c r="T151" s="434"/>
      <c r="U151" s="434"/>
      <c r="V151" s="434"/>
      <c r="W151" s="434"/>
      <c r="X151" s="434"/>
      <c r="Y151" s="434"/>
      <c r="Z151" s="434"/>
      <c r="AA151" s="434"/>
      <c r="AB151" s="434"/>
      <c r="AC151" s="434"/>
      <c r="AD151" s="434"/>
      <c r="AE151" s="434"/>
      <c r="AF151" s="434"/>
      <c r="AG151" s="434"/>
    </row>
    <row r="152" spans="16:33">
      <c r="P152" s="434"/>
      <c r="Q152" s="434"/>
      <c r="R152" s="434"/>
      <c r="S152" s="434"/>
      <c r="T152" s="434"/>
      <c r="U152" s="434"/>
      <c r="V152" s="434"/>
      <c r="W152" s="434"/>
      <c r="X152" s="434"/>
      <c r="Y152" s="434"/>
      <c r="Z152" s="434"/>
      <c r="AA152" s="434"/>
      <c r="AB152" s="434"/>
      <c r="AC152" s="434"/>
      <c r="AD152" s="434"/>
      <c r="AE152" s="434"/>
      <c r="AF152" s="434"/>
      <c r="AG152" s="434"/>
    </row>
    <row r="153" spans="16:33">
      <c r="P153" s="434"/>
      <c r="Q153" s="434"/>
      <c r="R153" s="434"/>
      <c r="S153" s="434"/>
      <c r="T153" s="434"/>
      <c r="U153" s="434"/>
      <c r="V153" s="434"/>
      <c r="W153" s="434"/>
      <c r="X153" s="434"/>
      <c r="Y153" s="434"/>
      <c r="Z153" s="434"/>
      <c r="AA153" s="434"/>
      <c r="AB153" s="434"/>
      <c r="AC153" s="434"/>
      <c r="AD153" s="434"/>
      <c r="AE153" s="434"/>
      <c r="AF153" s="434"/>
      <c r="AG153" s="434"/>
    </row>
    <row r="154" spans="16:33">
      <c r="P154" s="434"/>
      <c r="Q154" s="434"/>
      <c r="R154" s="434"/>
      <c r="S154" s="434"/>
      <c r="T154" s="434"/>
      <c r="U154" s="434"/>
      <c r="V154" s="434"/>
      <c r="W154" s="434"/>
      <c r="X154" s="434"/>
      <c r="Y154" s="434"/>
      <c r="Z154" s="434"/>
      <c r="AA154" s="434"/>
      <c r="AB154" s="434"/>
      <c r="AC154" s="434"/>
      <c r="AD154" s="434"/>
      <c r="AE154" s="434"/>
      <c r="AF154" s="434"/>
      <c r="AG154" s="434"/>
    </row>
    <row r="155" spans="16:33">
      <c r="P155" s="434"/>
      <c r="Q155" s="434"/>
      <c r="R155" s="434"/>
      <c r="S155" s="434"/>
      <c r="T155" s="434"/>
      <c r="U155" s="434"/>
      <c r="V155" s="434"/>
      <c r="W155" s="434"/>
      <c r="X155" s="434"/>
      <c r="Y155" s="434"/>
      <c r="Z155" s="434"/>
      <c r="AA155" s="434"/>
      <c r="AB155" s="434"/>
      <c r="AC155" s="434"/>
      <c r="AD155" s="434"/>
      <c r="AE155" s="434"/>
      <c r="AF155" s="434"/>
      <c r="AG155" s="434"/>
    </row>
    <row r="156" spans="16:33">
      <c r="P156" s="434"/>
      <c r="Q156" s="434"/>
      <c r="R156" s="434"/>
      <c r="S156" s="434"/>
      <c r="T156" s="434"/>
      <c r="U156" s="434"/>
      <c r="V156" s="434"/>
      <c r="W156" s="434"/>
      <c r="X156" s="434"/>
      <c r="Y156" s="434"/>
      <c r="Z156" s="434"/>
      <c r="AA156" s="434"/>
      <c r="AB156" s="434"/>
      <c r="AC156" s="434"/>
      <c r="AD156" s="434"/>
      <c r="AE156" s="434"/>
      <c r="AF156" s="434"/>
      <c r="AG156" s="434"/>
    </row>
    <row r="157" spans="16:33">
      <c r="P157" s="434"/>
      <c r="Q157" s="434"/>
      <c r="R157" s="434"/>
      <c r="S157" s="434"/>
      <c r="T157" s="434"/>
      <c r="U157" s="434"/>
      <c r="V157" s="434"/>
      <c r="W157" s="434"/>
      <c r="X157" s="434"/>
      <c r="Y157" s="434"/>
      <c r="Z157" s="434"/>
      <c r="AA157" s="434"/>
      <c r="AB157" s="434"/>
      <c r="AC157" s="434"/>
      <c r="AD157" s="434"/>
      <c r="AE157" s="434"/>
      <c r="AF157" s="434"/>
      <c r="AG157" s="434"/>
    </row>
    <row r="158" spans="16:33">
      <c r="P158" s="434"/>
      <c r="Q158" s="434"/>
      <c r="R158" s="434"/>
      <c r="S158" s="434"/>
      <c r="T158" s="434"/>
      <c r="U158" s="434"/>
      <c r="V158" s="434"/>
      <c r="W158" s="434"/>
      <c r="X158" s="434"/>
      <c r="Y158" s="434"/>
      <c r="Z158" s="434"/>
      <c r="AA158" s="434"/>
      <c r="AB158" s="434"/>
      <c r="AC158" s="434"/>
      <c r="AD158" s="434"/>
      <c r="AE158" s="434"/>
      <c r="AF158" s="434"/>
      <c r="AG158" s="434"/>
    </row>
    <row r="159" spans="16:33">
      <c r="P159" s="434"/>
      <c r="Q159" s="434"/>
      <c r="R159" s="434"/>
      <c r="S159" s="434"/>
      <c r="T159" s="434"/>
      <c r="U159" s="434"/>
      <c r="V159" s="434"/>
      <c r="W159" s="434"/>
      <c r="X159" s="434"/>
      <c r="Y159" s="434"/>
      <c r="Z159" s="434"/>
      <c r="AA159" s="434"/>
      <c r="AB159" s="434"/>
      <c r="AC159" s="434"/>
      <c r="AD159" s="434"/>
      <c r="AE159" s="434"/>
      <c r="AF159" s="434"/>
      <c r="AG159" s="434"/>
    </row>
    <row r="160" spans="16:33">
      <c r="P160" s="434"/>
      <c r="Q160" s="434"/>
      <c r="R160" s="434"/>
      <c r="S160" s="434"/>
      <c r="T160" s="434"/>
      <c r="U160" s="434"/>
      <c r="V160" s="434"/>
      <c r="W160" s="434"/>
      <c r="X160" s="434"/>
      <c r="Y160" s="434"/>
      <c r="Z160" s="434"/>
      <c r="AA160" s="434"/>
      <c r="AB160" s="434"/>
      <c r="AC160" s="434"/>
      <c r="AD160" s="434"/>
      <c r="AE160" s="434"/>
      <c r="AF160" s="434"/>
      <c r="AG160" s="434"/>
    </row>
    <row r="161" spans="16:33">
      <c r="P161" s="434"/>
      <c r="Q161" s="434"/>
      <c r="R161" s="434"/>
      <c r="S161" s="434"/>
      <c r="T161" s="434"/>
      <c r="U161" s="434"/>
      <c r="V161" s="434"/>
      <c r="W161" s="434"/>
      <c r="X161" s="434"/>
      <c r="Y161" s="434"/>
      <c r="Z161" s="434"/>
      <c r="AA161" s="434"/>
      <c r="AB161" s="434"/>
      <c r="AC161" s="434"/>
      <c r="AD161" s="434"/>
      <c r="AE161" s="434"/>
      <c r="AF161" s="434"/>
      <c r="AG161" s="434"/>
    </row>
    <row r="162" spans="16:33">
      <c r="P162" s="434"/>
      <c r="Q162" s="434"/>
      <c r="R162" s="434"/>
      <c r="S162" s="434"/>
      <c r="T162" s="434"/>
      <c r="U162" s="434"/>
      <c r="V162" s="434"/>
      <c r="W162" s="434"/>
      <c r="X162" s="434"/>
      <c r="Y162" s="434"/>
      <c r="Z162" s="434"/>
      <c r="AA162" s="434"/>
      <c r="AB162" s="434"/>
      <c r="AC162" s="434"/>
      <c r="AD162" s="434"/>
      <c r="AE162" s="434"/>
      <c r="AF162" s="434"/>
      <c r="AG162" s="434"/>
    </row>
    <row r="163" spans="16:33">
      <c r="P163" s="434"/>
      <c r="Q163" s="434"/>
      <c r="R163" s="434"/>
      <c r="S163" s="434"/>
      <c r="T163" s="434"/>
      <c r="U163" s="434"/>
      <c r="V163" s="434"/>
      <c r="W163" s="434"/>
      <c r="X163" s="434"/>
      <c r="Y163" s="434"/>
      <c r="Z163" s="434"/>
      <c r="AA163" s="434"/>
      <c r="AB163" s="434"/>
      <c r="AC163" s="434"/>
      <c r="AD163" s="434"/>
      <c r="AE163" s="434"/>
      <c r="AF163" s="434"/>
      <c r="AG163" s="434"/>
    </row>
    <row r="164" spans="16:33">
      <c r="P164" s="434"/>
      <c r="Q164" s="434"/>
      <c r="R164" s="434"/>
      <c r="S164" s="434"/>
      <c r="T164" s="434"/>
      <c r="U164" s="434"/>
      <c r="V164" s="434"/>
      <c r="W164" s="434"/>
      <c r="X164" s="434"/>
      <c r="Y164" s="434"/>
      <c r="Z164" s="434"/>
      <c r="AA164" s="434"/>
      <c r="AB164" s="434"/>
      <c r="AC164" s="434"/>
      <c r="AD164" s="434"/>
      <c r="AE164" s="434"/>
      <c r="AF164" s="434"/>
      <c r="AG164" s="434"/>
    </row>
    <row r="165" spans="16:33">
      <c r="P165" s="434"/>
      <c r="Q165" s="434"/>
      <c r="R165" s="434"/>
      <c r="S165" s="434"/>
      <c r="T165" s="434"/>
      <c r="U165" s="434"/>
      <c r="V165" s="434"/>
      <c r="W165" s="434"/>
      <c r="X165" s="434"/>
      <c r="Y165" s="434"/>
      <c r="Z165" s="434"/>
      <c r="AA165" s="434"/>
      <c r="AB165" s="434"/>
      <c r="AC165" s="434"/>
      <c r="AD165" s="434"/>
      <c r="AE165" s="434"/>
      <c r="AF165" s="434"/>
      <c r="AG165" s="434"/>
    </row>
  </sheetData>
  <mergeCells count="9">
    <mergeCell ref="E13:N13"/>
    <mergeCell ref="E14:N14"/>
    <mergeCell ref="E15:N15"/>
    <mergeCell ref="E1:N1"/>
    <mergeCell ref="E3:N3"/>
    <mergeCell ref="E6:N6"/>
    <mergeCell ref="E8:L8"/>
    <mergeCell ref="M8:N8"/>
    <mergeCell ref="K11:N11"/>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I706"/>
  <sheetViews>
    <sheetView showGridLines="0" tabSelected="1" topLeftCell="A689" zoomScaleNormal="100" workbookViewId="0">
      <selection activeCell="L4" sqref="L4"/>
    </sheetView>
  </sheetViews>
  <sheetFormatPr defaultColWidth="9.140625" defaultRowHeight="12.75"/>
  <cols>
    <col min="1" max="1" width="2.7109375" style="1" customWidth="1"/>
    <col min="2" max="2" width="15.7109375" style="1" customWidth="1"/>
    <col min="3" max="3" width="20.7109375" style="1" customWidth="1"/>
    <col min="4" max="4" width="56.28515625" style="1" customWidth="1"/>
    <col min="5" max="5" width="10.7109375" style="1" customWidth="1"/>
    <col min="6" max="6" width="13.7109375" style="2" customWidth="1"/>
    <col min="7" max="7" width="12.7109375" style="2" customWidth="1"/>
    <col min="8" max="8" width="20.7109375" style="2" customWidth="1"/>
    <col min="9" max="16384" width="9.140625" style="1"/>
  </cols>
  <sheetData>
    <row r="1" spans="2:9" ht="15" customHeight="1">
      <c r="B1" s="146"/>
      <c r="C1" s="146"/>
    </row>
    <row r="2" spans="2:9" s="134" customFormat="1" ht="15" customHeight="1">
      <c r="B2" s="147"/>
      <c r="C2" s="148"/>
      <c r="D2" s="142"/>
      <c r="E2" s="143"/>
      <c r="F2" s="142"/>
      <c r="G2" s="142"/>
      <c r="H2" s="149"/>
    </row>
    <row r="3" spans="2:9" s="134" customFormat="1" ht="15" customHeight="1">
      <c r="B3" s="150"/>
      <c r="C3" s="151"/>
      <c r="D3" s="144"/>
      <c r="E3" s="152"/>
      <c r="F3" s="144"/>
      <c r="G3" s="144"/>
      <c r="H3" s="135"/>
    </row>
    <row r="4" spans="2:9" s="134" customFormat="1" ht="15" customHeight="1">
      <c r="B4" s="150"/>
      <c r="C4" s="151"/>
      <c r="D4" s="559" t="s">
        <v>2232</v>
      </c>
      <c r="E4" s="559"/>
      <c r="F4" s="560" t="s">
        <v>2233</v>
      </c>
      <c r="G4" s="560"/>
      <c r="H4" s="153">
        <v>0.2026</v>
      </c>
    </row>
    <row r="5" spans="2:9" s="134" customFormat="1" ht="15" customHeight="1">
      <c r="B5" s="154"/>
      <c r="C5" s="155"/>
      <c r="D5" s="561" t="s">
        <v>2234</v>
      </c>
      <c r="E5" s="561"/>
      <c r="F5" s="155"/>
      <c r="G5" s="155"/>
      <c r="H5" s="156"/>
    </row>
    <row r="6" spans="2:9" s="134" customFormat="1" ht="15" customHeight="1">
      <c r="B6" s="154"/>
      <c r="C6" s="155"/>
      <c r="D6" s="561" t="s">
        <v>2235</v>
      </c>
      <c r="E6" s="561"/>
      <c r="F6" s="562"/>
      <c r="G6" s="562"/>
      <c r="H6" s="156"/>
    </row>
    <row r="7" spans="2:9" s="134" customFormat="1" ht="15" customHeight="1">
      <c r="B7" s="150"/>
      <c r="C7" s="151"/>
      <c r="D7" s="144"/>
      <c r="E7" s="152"/>
      <c r="F7" s="559"/>
      <c r="G7" s="559"/>
      <c r="H7" s="135"/>
    </row>
    <row r="8" spans="2:9" s="134" customFormat="1" ht="15" customHeight="1">
      <c r="B8" s="572"/>
      <c r="C8" s="561"/>
      <c r="D8" s="561" t="s">
        <v>2243</v>
      </c>
      <c r="E8" s="561"/>
      <c r="F8" s="155"/>
      <c r="G8" s="155"/>
      <c r="H8" s="156"/>
    </row>
    <row r="9" spans="2:9" s="134" customFormat="1" ht="15" customHeight="1">
      <c r="B9" s="563"/>
      <c r="C9" s="564"/>
      <c r="D9" s="564"/>
      <c r="E9" s="564"/>
      <c r="F9" s="564"/>
      <c r="G9" s="564"/>
      <c r="H9" s="565"/>
    </row>
    <row r="10" spans="2:9" s="134" customFormat="1" ht="15" customHeight="1">
      <c r="B10" s="573" t="s">
        <v>2236</v>
      </c>
      <c r="C10" s="574"/>
      <c r="D10" s="574"/>
      <c r="E10" s="152"/>
      <c r="F10" s="144"/>
      <c r="G10" s="144"/>
      <c r="H10" s="529" t="s">
        <v>2906</v>
      </c>
      <c r="I10" s="144"/>
    </row>
    <row r="11" spans="2:9" s="134" customFormat="1" ht="15" customHeight="1">
      <c r="B11" s="563"/>
      <c r="C11" s="564"/>
      <c r="D11" s="564"/>
      <c r="E11" s="564"/>
      <c r="F11" s="564"/>
      <c r="G11" s="564"/>
      <c r="H11" s="565"/>
    </row>
    <row r="12" spans="2:9" s="134" customFormat="1" ht="15" customHeight="1">
      <c r="B12" s="573" t="s">
        <v>2237</v>
      </c>
      <c r="C12" s="574"/>
      <c r="D12" s="574"/>
      <c r="G12" s="570" t="s">
        <v>2238</v>
      </c>
      <c r="H12" s="571"/>
    </row>
    <row r="13" spans="2:9" s="134" customFormat="1" ht="15" customHeight="1">
      <c r="B13" s="563"/>
      <c r="C13" s="564"/>
      <c r="D13" s="564"/>
      <c r="E13" s="564"/>
      <c r="F13" s="564"/>
      <c r="G13" s="564"/>
      <c r="H13" s="565"/>
    </row>
    <row r="14" spans="2:9" s="134" customFormat="1" ht="15" customHeight="1">
      <c r="B14" s="569" t="s">
        <v>2823</v>
      </c>
      <c r="C14" s="570"/>
      <c r="D14" s="570"/>
      <c r="E14" s="570"/>
      <c r="F14" s="570"/>
      <c r="G14" s="570"/>
      <c r="H14" s="571"/>
      <c r="I14" s="323"/>
    </row>
    <row r="15" spans="2:9" s="134" customFormat="1" ht="15" customHeight="1">
      <c r="B15" s="569" t="s">
        <v>2824</v>
      </c>
      <c r="C15" s="570"/>
      <c r="D15" s="570"/>
      <c r="E15" s="570"/>
      <c r="F15" s="570"/>
      <c r="G15" s="570"/>
      <c r="H15" s="571"/>
    </row>
    <row r="16" spans="2:9" s="134" customFormat="1" ht="15" customHeight="1">
      <c r="B16" s="569" t="s">
        <v>2903</v>
      </c>
      <c r="C16" s="570"/>
      <c r="D16" s="570"/>
      <c r="E16" s="570"/>
      <c r="F16" s="570"/>
      <c r="G16" s="570"/>
      <c r="H16" s="571"/>
    </row>
    <row r="17" spans="2:8" s="134" customFormat="1" ht="20.100000000000001" customHeight="1">
      <c r="B17" s="560" t="s">
        <v>2239</v>
      </c>
      <c r="C17" s="560"/>
      <c r="D17" s="560"/>
      <c r="E17" s="560"/>
      <c r="F17" s="560"/>
      <c r="G17" s="560"/>
      <c r="H17" s="560"/>
    </row>
    <row r="18" spans="2:8" s="134" customFormat="1" ht="24.95" customHeight="1">
      <c r="B18" s="157" t="s">
        <v>2240</v>
      </c>
      <c r="C18" s="157" t="s">
        <v>1</v>
      </c>
      <c r="D18" s="157" t="s">
        <v>2</v>
      </c>
      <c r="E18" s="157" t="s">
        <v>2241</v>
      </c>
      <c r="F18" s="158" t="s">
        <v>5</v>
      </c>
      <c r="G18" s="158" t="s">
        <v>2242</v>
      </c>
      <c r="H18" s="159" t="s">
        <v>6</v>
      </c>
    </row>
    <row r="19" spans="2:8" ht="20.100000000000001" customHeight="1">
      <c r="B19" s="160" t="s">
        <v>7</v>
      </c>
      <c r="C19" s="160"/>
      <c r="D19" s="161" t="s">
        <v>8</v>
      </c>
      <c r="E19" s="161"/>
      <c r="F19" s="161"/>
      <c r="G19" s="161"/>
      <c r="H19" s="162"/>
    </row>
    <row r="20" spans="2:8" s="134" customFormat="1" ht="15" customHeight="1">
      <c r="B20" s="163" t="s">
        <v>9</v>
      </c>
      <c r="C20" s="163"/>
      <c r="D20" s="164" t="s">
        <v>10</v>
      </c>
      <c r="E20" s="164"/>
      <c r="F20" s="164"/>
      <c r="G20" s="164"/>
      <c r="H20" s="165"/>
    </row>
    <row r="21" spans="2:8" ht="25.5">
      <c r="B21" s="189"/>
      <c r="C21" s="170" t="s">
        <v>1935</v>
      </c>
      <c r="D21" s="136" t="s">
        <v>11</v>
      </c>
      <c r="E21" s="4" t="s">
        <v>13</v>
      </c>
      <c r="F21" s="5" t="s">
        <v>14</v>
      </c>
      <c r="G21" s="5">
        <f>CPU!H24</f>
        <v>507.44</v>
      </c>
      <c r="H21" s="8">
        <f>TRUNC(F21*G21,(2))</f>
        <v>5074.3999999999996</v>
      </c>
    </row>
    <row r="22" spans="2:8" s="134" customFormat="1" ht="20.100000000000001" customHeight="1">
      <c r="B22" s="166"/>
      <c r="C22" s="178"/>
      <c r="D22" s="179" t="s">
        <v>1155</v>
      </c>
      <c r="E22" s="180"/>
      <c r="F22" s="181"/>
      <c r="G22" s="181"/>
      <c r="H22" s="182">
        <f>SUM(H21:H21)</f>
        <v>5074.3999999999996</v>
      </c>
    </row>
    <row r="23" spans="2:8" s="134" customFormat="1" ht="20.100000000000001" customHeight="1">
      <c r="B23" s="167" t="s">
        <v>16</v>
      </c>
      <c r="C23" s="167"/>
      <c r="D23" s="183" t="s">
        <v>17</v>
      </c>
      <c r="E23" s="183"/>
      <c r="F23" s="183"/>
      <c r="G23" s="183"/>
      <c r="H23" s="184"/>
    </row>
    <row r="24" spans="2:8" s="134" customFormat="1" ht="15" customHeight="1">
      <c r="B24" s="168" t="s">
        <v>18</v>
      </c>
      <c r="C24" s="168"/>
      <c r="D24" s="185" t="s">
        <v>19</v>
      </c>
      <c r="E24" s="185"/>
      <c r="F24" s="185"/>
      <c r="G24" s="185"/>
      <c r="H24" s="186"/>
    </row>
    <row r="25" spans="2:8" s="134" customFormat="1" ht="15" customHeight="1">
      <c r="B25" s="169" t="s">
        <v>20</v>
      </c>
      <c r="C25" s="169"/>
      <c r="D25" s="187" t="s">
        <v>21</v>
      </c>
      <c r="E25" s="187"/>
      <c r="F25" s="187"/>
      <c r="G25" s="187"/>
      <c r="H25" s="188"/>
    </row>
    <row r="26" spans="2:8" ht="38.25">
      <c r="B26" s="170" t="s">
        <v>2244</v>
      </c>
      <c r="C26" s="170" t="s">
        <v>22</v>
      </c>
      <c r="D26" s="3" t="s">
        <v>23</v>
      </c>
      <c r="E26" s="4" t="s">
        <v>24</v>
      </c>
      <c r="F26" s="5" t="s">
        <v>25</v>
      </c>
      <c r="G26" s="5">
        <v>1247.27</v>
      </c>
      <c r="H26" s="8">
        <f t="shared" ref="H26:H34" si="0">TRUNC(F26*G26,(2))</f>
        <v>33676.29</v>
      </c>
    </row>
    <row r="27" spans="2:8" ht="38.25">
      <c r="B27" s="170" t="s">
        <v>2245</v>
      </c>
      <c r="C27" s="170" t="s">
        <v>26</v>
      </c>
      <c r="D27" s="3" t="s">
        <v>27</v>
      </c>
      <c r="E27" s="4" t="s">
        <v>24</v>
      </c>
      <c r="F27" s="5" t="s">
        <v>28</v>
      </c>
      <c r="G27" s="5">
        <v>1030.99</v>
      </c>
      <c r="H27" s="8">
        <f t="shared" si="0"/>
        <v>45363.56</v>
      </c>
    </row>
    <row r="28" spans="2:8" ht="38.25">
      <c r="B28" s="170" t="s">
        <v>2246</v>
      </c>
      <c r="C28" s="170" t="s">
        <v>29</v>
      </c>
      <c r="D28" s="3" t="s">
        <v>30</v>
      </c>
      <c r="E28" s="4" t="s">
        <v>24</v>
      </c>
      <c r="F28" s="5" t="s">
        <v>31</v>
      </c>
      <c r="G28" s="5">
        <v>635.62</v>
      </c>
      <c r="H28" s="8">
        <f t="shared" si="0"/>
        <v>17797.36</v>
      </c>
    </row>
    <row r="29" spans="2:8" ht="38.25">
      <c r="B29" s="170" t="s">
        <v>2247</v>
      </c>
      <c r="C29" s="170" t="s">
        <v>32</v>
      </c>
      <c r="D29" s="3" t="s">
        <v>33</v>
      </c>
      <c r="E29" s="4" t="s">
        <v>24</v>
      </c>
      <c r="F29" s="5" t="s">
        <v>34</v>
      </c>
      <c r="G29" s="5">
        <v>1092.05</v>
      </c>
      <c r="H29" s="8">
        <f t="shared" si="0"/>
        <v>19656.900000000001</v>
      </c>
    </row>
    <row r="30" spans="2:8" ht="38.25">
      <c r="B30" s="170" t="s">
        <v>2248</v>
      </c>
      <c r="C30" s="170" t="s">
        <v>35</v>
      </c>
      <c r="D30" s="3" t="s">
        <v>36</v>
      </c>
      <c r="E30" s="4" t="s">
        <v>37</v>
      </c>
      <c r="F30" s="5" t="s">
        <v>38</v>
      </c>
      <c r="G30" s="5">
        <v>7535.29</v>
      </c>
      <c r="H30" s="8">
        <f t="shared" si="0"/>
        <v>7535.29</v>
      </c>
    </row>
    <row r="31" spans="2:8" ht="38.25">
      <c r="B31" s="170" t="s">
        <v>2249</v>
      </c>
      <c r="C31" s="170" t="s">
        <v>39</v>
      </c>
      <c r="D31" s="3" t="s">
        <v>40</v>
      </c>
      <c r="E31" s="4" t="s">
        <v>37</v>
      </c>
      <c r="F31" s="5" t="s">
        <v>38</v>
      </c>
      <c r="G31" s="5">
        <v>11570.65</v>
      </c>
      <c r="H31" s="8">
        <f t="shared" si="0"/>
        <v>11570.65</v>
      </c>
    </row>
    <row r="32" spans="2:8" ht="38.25">
      <c r="B32" s="170" t="s">
        <v>2250</v>
      </c>
      <c r="C32" s="170" t="s">
        <v>41</v>
      </c>
      <c r="D32" s="3" t="s">
        <v>42</v>
      </c>
      <c r="E32" s="4" t="s">
        <v>24</v>
      </c>
      <c r="F32" s="5" t="s">
        <v>43</v>
      </c>
      <c r="G32" s="5">
        <v>487.84</v>
      </c>
      <c r="H32" s="8">
        <f t="shared" si="0"/>
        <v>15610.88</v>
      </c>
    </row>
    <row r="33" spans="2:8" ht="38.25">
      <c r="B33" s="170" t="s">
        <v>2251</v>
      </c>
      <c r="C33" s="170" t="s">
        <v>44</v>
      </c>
      <c r="D33" s="3" t="s">
        <v>45</v>
      </c>
      <c r="E33" s="4" t="s">
        <v>24</v>
      </c>
      <c r="F33" s="5" t="s">
        <v>46</v>
      </c>
      <c r="G33" s="5">
        <v>1039.1300000000001</v>
      </c>
      <c r="H33" s="8">
        <f t="shared" si="0"/>
        <v>16626.080000000002</v>
      </c>
    </row>
    <row r="34" spans="2:8" ht="38.25">
      <c r="B34" s="170" t="s">
        <v>2252</v>
      </c>
      <c r="C34" s="170" t="s">
        <v>47</v>
      </c>
      <c r="D34" s="3" t="s">
        <v>48</v>
      </c>
      <c r="E34" s="4" t="s">
        <v>24</v>
      </c>
      <c r="F34" s="5" t="s">
        <v>49</v>
      </c>
      <c r="G34" s="5">
        <v>1390.51</v>
      </c>
      <c r="H34" s="8">
        <f t="shared" si="0"/>
        <v>5562.04</v>
      </c>
    </row>
    <row r="35" spans="2:8" s="134" customFormat="1" ht="15" customHeight="1">
      <c r="B35" s="169" t="s">
        <v>50</v>
      </c>
      <c r="C35" s="169"/>
      <c r="D35" s="187" t="s">
        <v>51</v>
      </c>
      <c r="E35" s="187"/>
      <c r="F35" s="187"/>
      <c r="G35" s="187"/>
      <c r="H35" s="190"/>
    </row>
    <row r="36" spans="2:8" ht="25.5">
      <c r="B36" s="170" t="s">
        <v>2253</v>
      </c>
      <c r="C36" s="170" t="s">
        <v>1937</v>
      </c>
      <c r="D36" s="3" t="s">
        <v>52</v>
      </c>
      <c r="E36" s="4" t="s">
        <v>37</v>
      </c>
      <c r="F36" s="5" t="s">
        <v>38</v>
      </c>
      <c r="G36" s="5">
        <f>CPU!H44</f>
        <v>2070.9287249999998</v>
      </c>
      <c r="H36" s="8">
        <f t="shared" ref="H36:H39" si="1">TRUNC(F36*G36,(2))</f>
        <v>2070.92</v>
      </c>
    </row>
    <row r="37" spans="2:8" ht="25.5">
      <c r="B37" s="170" t="s">
        <v>2254</v>
      </c>
      <c r="C37" s="170" t="s">
        <v>1943</v>
      </c>
      <c r="D37" s="3" t="s">
        <v>53</v>
      </c>
      <c r="E37" s="4" t="s">
        <v>37</v>
      </c>
      <c r="F37" s="5" t="s">
        <v>38</v>
      </c>
      <c r="G37" s="5">
        <f>CPU!H52</f>
        <v>3955.6260479999996</v>
      </c>
      <c r="H37" s="8">
        <f t="shared" si="1"/>
        <v>3955.62</v>
      </c>
    </row>
    <row r="38" spans="2:8" ht="25.5">
      <c r="B38" s="170" t="s">
        <v>2255</v>
      </c>
      <c r="C38" s="170" t="s">
        <v>1944</v>
      </c>
      <c r="D38" s="3" t="s">
        <v>54</v>
      </c>
      <c r="E38" s="4" t="s">
        <v>37</v>
      </c>
      <c r="F38" s="5" t="s">
        <v>38</v>
      </c>
      <c r="G38" s="5">
        <f>CPU!H66</f>
        <v>1247.8247283000003</v>
      </c>
      <c r="H38" s="8">
        <f t="shared" si="1"/>
        <v>1247.82</v>
      </c>
    </row>
    <row r="39" spans="2:8" ht="25.5">
      <c r="B39" s="170" t="s">
        <v>2256</v>
      </c>
      <c r="C39" s="170" t="s">
        <v>1946</v>
      </c>
      <c r="D39" s="136" t="s">
        <v>55</v>
      </c>
      <c r="E39" s="4" t="s">
        <v>37</v>
      </c>
      <c r="F39" s="5" t="s">
        <v>38</v>
      </c>
      <c r="G39" s="5">
        <f>CPU!H75</f>
        <v>706.3087104</v>
      </c>
      <c r="H39" s="8">
        <f t="shared" si="1"/>
        <v>706.3</v>
      </c>
    </row>
    <row r="40" spans="2:8" s="134" customFormat="1" ht="15" customHeight="1">
      <c r="B40" s="169" t="s">
        <v>56</v>
      </c>
      <c r="C40" s="169"/>
      <c r="D40" s="187" t="s">
        <v>57</v>
      </c>
      <c r="E40" s="187"/>
      <c r="F40" s="187"/>
      <c r="G40" s="187"/>
      <c r="H40" s="190"/>
    </row>
    <row r="41" spans="2:8" ht="15" customHeight="1">
      <c r="B41" s="170" t="s">
        <v>2257</v>
      </c>
      <c r="C41" s="170">
        <v>4813</v>
      </c>
      <c r="D41" s="136" t="s">
        <v>58</v>
      </c>
      <c r="E41" s="4" t="s">
        <v>24</v>
      </c>
      <c r="F41" s="5" t="s">
        <v>59</v>
      </c>
      <c r="G41" s="5">
        <v>400</v>
      </c>
      <c r="H41" s="8">
        <f t="shared" ref="H41:H42" si="2">TRUNC(F41*G41,(2))</f>
        <v>5632</v>
      </c>
    </row>
    <row r="42" spans="2:8" ht="15" customHeight="1">
      <c r="B42" s="170" t="s">
        <v>2258</v>
      </c>
      <c r="C42" s="170" t="s">
        <v>60</v>
      </c>
      <c r="D42" s="136" t="s">
        <v>61</v>
      </c>
      <c r="E42" s="4" t="s">
        <v>24</v>
      </c>
      <c r="F42" s="5" t="s">
        <v>62</v>
      </c>
      <c r="G42" s="5">
        <v>137.88</v>
      </c>
      <c r="H42" s="8">
        <f t="shared" si="2"/>
        <v>119404.08</v>
      </c>
    </row>
    <row r="43" spans="2:8" s="134" customFormat="1" ht="15" customHeight="1">
      <c r="B43" s="169" t="s">
        <v>63</v>
      </c>
      <c r="C43" s="169"/>
      <c r="D43" s="187" t="s">
        <v>64</v>
      </c>
      <c r="E43" s="187"/>
      <c r="F43" s="187"/>
      <c r="G43" s="187"/>
      <c r="H43" s="190"/>
    </row>
    <row r="44" spans="2:8" ht="38.25">
      <c r="B44" s="170" t="s">
        <v>2259</v>
      </c>
      <c r="C44" s="170" t="s">
        <v>65</v>
      </c>
      <c r="D44" s="3" t="s">
        <v>66</v>
      </c>
      <c r="E44" s="4" t="s">
        <v>15</v>
      </c>
      <c r="F44" s="5" t="s">
        <v>67</v>
      </c>
      <c r="G44" s="5">
        <v>62.39</v>
      </c>
      <c r="H44" s="8">
        <f>TRUNC(F44*G44,(2))</f>
        <v>21087.82</v>
      </c>
    </row>
    <row r="45" spans="2:8" s="134" customFormat="1" ht="15" customHeight="1">
      <c r="B45" s="169" t="s">
        <v>68</v>
      </c>
      <c r="C45" s="169"/>
      <c r="D45" s="187" t="s">
        <v>69</v>
      </c>
      <c r="E45" s="187"/>
      <c r="F45" s="187"/>
      <c r="G45" s="187"/>
      <c r="H45" s="190"/>
    </row>
    <row r="46" spans="2:8">
      <c r="B46" s="170" t="s">
        <v>2260</v>
      </c>
      <c r="C46" s="170">
        <v>97914</v>
      </c>
      <c r="D46" s="3" t="s">
        <v>70</v>
      </c>
      <c r="E46" s="4" t="s">
        <v>71</v>
      </c>
      <c r="F46" s="5" t="s">
        <v>72</v>
      </c>
      <c r="G46" s="5">
        <v>2.61</v>
      </c>
      <c r="H46" s="8">
        <f t="shared" ref="H46:H49" si="3">TRUNC(F46*G46,(2))</f>
        <v>286609.32</v>
      </c>
    </row>
    <row r="47" spans="2:8" ht="38.25">
      <c r="B47" s="170" t="s">
        <v>2261</v>
      </c>
      <c r="C47" s="170" t="s">
        <v>2170</v>
      </c>
      <c r="D47" s="3" t="s">
        <v>74</v>
      </c>
      <c r="E47" s="4" t="s">
        <v>75</v>
      </c>
      <c r="F47" s="5" t="s">
        <v>76</v>
      </c>
      <c r="G47" s="432">
        <v>6.08</v>
      </c>
      <c r="H47" s="8">
        <f t="shared" si="3"/>
        <v>55638.080000000002</v>
      </c>
    </row>
    <row r="48" spans="2:8" ht="25.5">
      <c r="B48" s="170" t="s">
        <v>2262</v>
      </c>
      <c r="C48" s="170" t="s">
        <v>1949</v>
      </c>
      <c r="D48" s="136" t="s">
        <v>77</v>
      </c>
      <c r="E48" s="4" t="s">
        <v>24</v>
      </c>
      <c r="F48" s="5" t="s">
        <v>78</v>
      </c>
      <c r="G48" s="5">
        <f>CPU!H80</f>
        <v>0.79211999999999994</v>
      </c>
      <c r="H48" s="8">
        <f t="shared" si="3"/>
        <v>7525.93</v>
      </c>
    </row>
    <row r="49" spans="2:8" ht="25.5">
      <c r="B49" s="170" t="s">
        <v>2263</v>
      </c>
      <c r="C49" s="170" t="s">
        <v>2169</v>
      </c>
      <c r="D49" s="136" t="s">
        <v>79</v>
      </c>
      <c r="E49" s="4" t="s">
        <v>75</v>
      </c>
      <c r="F49" s="5" t="s">
        <v>80</v>
      </c>
      <c r="G49" s="5">
        <f>CPU!H84</f>
        <v>7.930752</v>
      </c>
      <c r="H49" s="8">
        <f t="shared" si="3"/>
        <v>16416.650000000001</v>
      </c>
    </row>
    <row r="50" spans="2:8" ht="75.75" customHeight="1">
      <c r="B50" s="170" t="s">
        <v>2264</v>
      </c>
      <c r="C50" s="170" t="s">
        <v>81</v>
      </c>
      <c r="D50" s="3" t="s">
        <v>82</v>
      </c>
      <c r="E50" s="4" t="s">
        <v>75</v>
      </c>
      <c r="F50" s="5" t="s">
        <v>83</v>
      </c>
      <c r="G50" s="5">
        <v>10.119999999999999</v>
      </c>
      <c r="H50" s="8">
        <f t="shared" ref="H26:H86" si="4">F50*G50</f>
        <v>9158.5999999999985</v>
      </c>
    </row>
    <row r="51" spans="2:8" ht="25.5">
      <c r="B51" s="170" t="s">
        <v>2265</v>
      </c>
      <c r="C51" s="170" t="s">
        <v>84</v>
      </c>
      <c r="D51" s="3" t="s">
        <v>85</v>
      </c>
      <c r="E51" s="4" t="s">
        <v>75</v>
      </c>
      <c r="F51" s="5" t="s">
        <v>86</v>
      </c>
      <c r="G51" s="5">
        <v>27.66</v>
      </c>
      <c r="H51" s="8">
        <f>TRUNC(F51*G51,(2))</f>
        <v>2848.98</v>
      </c>
    </row>
    <row r="52" spans="2:8" s="134" customFormat="1" ht="20.100000000000001" customHeight="1">
      <c r="B52" s="172"/>
      <c r="C52" s="178"/>
      <c r="D52" s="179" t="s">
        <v>1156</v>
      </c>
      <c r="E52" s="180"/>
      <c r="F52" s="181"/>
      <c r="G52" s="181"/>
      <c r="H52" s="182">
        <f>SUM(H26:H51)</f>
        <v>705701.17</v>
      </c>
    </row>
    <row r="53" spans="2:8" s="134" customFormat="1" ht="20.100000000000001" customHeight="1">
      <c r="B53" s="167" t="s">
        <v>87</v>
      </c>
      <c r="C53" s="167"/>
      <c r="D53" s="183" t="s">
        <v>88</v>
      </c>
      <c r="E53" s="183"/>
      <c r="F53" s="183"/>
      <c r="G53" s="183"/>
      <c r="H53" s="191"/>
    </row>
    <row r="54" spans="2:8" s="134" customFormat="1" ht="15" customHeight="1">
      <c r="B54" s="168" t="s">
        <v>89</v>
      </c>
      <c r="C54" s="168"/>
      <c r="D54" s="185" t="s">
        <v>90</v>
      </c>
      <c r="E54" s="185"/>
      <c r="F54" s="185"/>
      <c r="G54" s="185"/>
      <c r="H54" s="192"/>
    </row>
    <row r="55" spans="2:8" s="134" customFormat="1" ht="15" customHeight="1">
      <c r="B55" s="169" t="s">
        <v>91</v>
      </c>
      <c r="C55" s="169"/>
      <c r="D55" s="187" t="s">
        <v>92</v>
      </c>
      <c r="E55" s="187"/>
      <c r="F55" s="187"/>
      <c r="G55" s="187"/>
      <c r="H55" s="190"/>
    </row>
    <row r="56" spans="2:8" s="134" customFormat="1" ht="15" customHeight="1">
      <c r="B56" s="169" t="s">
        <v>93</v>
      </c>
      <c r="C56" s="169"/>
      <c r="D56" s="187" t="s">
        <v>94</v>
      </c>
      <c r="E56" s="187"/>
      <c r="F56" s="187"/>
      <c r="G56" s="187"/>
      <c r="H56" s="190"/>
    </row>
    <row r="57" spans="2:8" s="134" customFormat="1" ht="15" customHeight="1">
      <c r="B57" s="169" t="s">
        <v>95</v>
      </c>
      <c r="C57" s="169"/>
      <c r="D57" s="187" t="s">
        <v>96</v>
      </c>
      <c r="E57" s="187"/>
      <c r="F57" s="187"/>
      <c r="G57" s="187"/>
      <c r="H57" s="190"/>
    </row>
    <row r="58" spans="2:8" ht="38.25">
      <c r="B58" s="170" t="s">
        <v>2266</v>
      </c>
      <c r="C58" s="170" t="s">
        <v>1951</v>
      </c>
      <c r="D58" s="3" t="s">
        <v>97</v>
      </c>
      <c r="E58" s="4" t="s">
        <v>37</v>
      </c>
      <c r="F58" s="5" t="s">
        <v>38</v>
      </c>
      <c r="G58" s="5">
        <f>CPU!H88</f>
        <v>33375.444479999998</v>
      </c>
      <c r="H58" s="8">
        <f t="shared" ref="H58:H68" si="5">TRUNC(F58*G58,(2))</f>
        <v>33375.440000000002</v>
      </c>
    </row>
    <row r="59" spans="2:8" ht="51">
      <c r="B59" s="170" t="s">
        <v>2168</v>
      </c>
      <c r="C59" s="170" t="s">
        <v>1952</v>
      </c>
      <c r="D59" s="3" t="s">
        <v>98</v>
      </c>
      <c r="E59" s="4" t="s">
        <v>75</v>
      </c>
      <c r="F59" s="5" t="s">
        <v>99</v>
      </c>
      <c r="G59" s="5">
        <f>CPU!H94</f>
        <v>2.18425</v>
      </c>
      <c r="H59" s="8">
        <f t="shared" si="5"/>
        <v>2072.85</v>
      </c>
    </row>
    <row r="60" spans="2:8" ht="51">
      <c r="B60" s="170" t="s">
        <v>2267</v>
      </c>
      <c r="C60" s="170" t="s">
        <v>2171</v>
      </c>
      <c r="D60" s="3" t="s">
        <v>100</v>
      </c>
      <c r="E60" s="4" t="s">
        <v>15</v>
      </c>
      <c r="F60" s="5" t="s">
        <v>101</v>
      </c>
      <c r="G60" s="5">
        <f>CPU!H104</f>
        <v>85.381845275000003</v>
      </c>
      <c r="H60" s="8">
        <f t="shared" si="5"/>
        <v>211661.59</v>
      </c>
    </row>
    <row r="61" spans="2:8" ht="64.5" customHeight="1">
      <c r="B61" s="170" t="s">
        <v>2268</v>
      </c>
      <c r="C61" s="170" t="s">
        <v>1954</v>
      </c>
      <c r="D61" s="3" t="s">
        <v>102</v>
      </c>
      <c r="E61" s="4" t="s">
        <v>15</v>
      </c>
      <c r="F61" s="5" t="s">
        <v>103</v>
      </c>
      <c r="G61" s="5">
        <f>CPU!H114</f>
        <v>120.144685025</v>
      </c>
      <c r="H61" s="8">
        <f t="shared" si="5"/>
        <v>280657.98</v>
      </c>
    </row>
    <row r="62" spans="2:8" ht="54" customHeight="1">
      <c r="B62" s="170" t="s">
        <v>2269</v>
      </c>
      <c r="C62" s="170" t="s">
        <v>2172</v>
      </c>
      <c r="D62" s="3" t="s">
        <v>104</v>
      </c>
      <c r="E62" s="4" t="s">
        <v>15</v>
      </c>
      <c r="F62" s="5" t="s">
        <v>105</v>
      </c>
      <c r="G62" s="5">
        <f>CPU!H124</f>
        <v>177.09250252499999</v>
      </c>
      <c r="H62" s="8">
        <f t="shared" si="5"/>
        <v>187009.68</v>
      </c>
    </row>
    <row r="63" spans="2:8" ht="38.25">
      <c r="B63" s="170" t="s">
        <v>2270</v>
      </c>
      <c r="C63" s="170" t="s">
        <v>106</v>
      </c>
      <c r="D63" s="3" t="s">
        <v>107</v>
      </c>
      <c r="E63" s="4" t="s">
        <v>108</v>
      </c>
      <c r="F63" s="5" t="s">
        <v>109</v>
      </c>
      <c r="G63" s="5">
        <v>0.89</v>
      </c>
      <c r="H63" s="8">
        <f t="shared" si="5"/>
        <v>29567.58</v>
      </c>
    </row>
    <row r="64" spans="2:8" ht="25.5">
      <c r="B64" s="170" t="s">
        <v>2271</v>
      </c>
      <c r="C64" s="170" t="s">
        <v>110</v>
      </c>
      <c r="D64" s="3" t="s">
        <v>111</v>
      </c>
      <c r="E64" s="4" t="s">
        <v>112</v>
      </c>
      <c r="F64" s="5" t="s">
        <v>113</v>
      </c>
      <c r="G64" s="5">
        <v>12.58</v>
      </c>
      <c r="H64" s="8">
        <f t="shared" si="5"/>
        <v>8529.24</v>
      </c>
    </row>
    <row r="65" spans="2:8" ht="25.5">
      <c r="B65" s="170" t="s">
        <v>2272</v>
      </c>
      <c r="C65" s="170" t="s">
        <v>114</v>
      </c>
      <c r="D65" s="3" t="s">
        <v>115</v>
      </c>
      <c r="E65" s="4" t="s">
        <v>112</v>
      </c>
      <c r="F65" s="5" t="s">
        <v>116</v>
      </c>
      <c r="G65" s="5">
        <v>10.29</v>
      </c>
      <c r="H65" s="8">
        <f t="shared" si="5"/>
        <v>141960.84</v>
      </c>
    </row>
    <row r="66" spans="2:8" ht="25.5">
      <c r="B66" s="170" t="s">
        <v>2273</v>
      </c>
      <c r="C66" s="170" t="s">
        <v>117</v>
      </c>
      <c r="D66" s="3" t="s">
        <v>118</v>
      </c>
      <c r="E66" s="4" t="s">
        <v>112</v>
      </c>
      <c r="F66" s="5" t="s">
        <v>119</v>
      </c>
      <c r="G66" s="5">
        <v>15.72</v>
      </c>
      <c r="H66" s="8">
        <f t="shared" si="5"/>
        <v>56592</v>
      </c>
    </row>
    <row r="67" spans="2:8" ht="25.5">
      <c r="B67" s="170" t="s">
        <v>2274</v>
      </c>
      <c r="C67" s="170" t="s">
        <v>120</v>
      </c>
      <c r="D67" s="3" t="s">
        <v>121</v>
      </c>
      <c r="E67" s="4" t="s">
        <v>37</v>
      </c>
      <c r="F67" s="5" t="s">
        <v>122</v>
      </c>
      <c r="G67" s="5">
        <v>23.98</v>
      </c>
      <c r="H67" s="8">
        <f t="shared" si="5"/>
        <v>10143.540000000001</v>
      </c>
    </row>
    <row r="68" spans="2:8" ht="25.5">
      <c r="B68" s="170" t="s">
        <v>2275</v>
      </c>
      <c r="C68" s="170" t="s">
        <v>123</v>
      </c>
      <c r="D68" s="3" t="s">
        <v>124</v>
      </c>
      <c r="E68" s="4" t="s">
        <v>24</v>
      </c>
      <c r="F68" s="5" t="s">
        <v>125</v>
      </c>
      <c r="G68" s="5">
        <v>0.37</v>
      </c>
      <c r="H68" s="8">
        <f t="shared" si="5"/>
        <v>626.04</v>
      </c>
    </row>
    <row r="69" spans="2:8" s="134" customFormat="1" ht="15" customHeight="1">
      <c r="B69" s="169" t="s">
        <v>126</v>
      </c>
      <c r="C69" s="169"/>
      <c r="D69" s="187" t="s">
        <v>127</v>
      </c>
      <c r="E69" s="187"/>
      <c r="F69" s="187"/>
      <c r="G69" s="187"/>
      <c r="H69" s="190"/>
    </row>
    <row r="70" spans="2:8" ht="51">
      <c r="B70" s="170" t="s">
        <v>2276</v>
      </c>
      <c r="C70" s="170" t="s">
        <v>1952</v>
      </c>
      <c r="D70" s="3" t="s">
        <v>98</v>
      </c>
      <c r="E70" s="4" t="s">
        <v>75</v>
      </c>
      <c r="F70" s="5" t="s">
        <v>128</v>
      </c>
      <c r="G70" s="5">
        <f>CPU!H94</f>
        <v>2.18425</v>
      </c>
      <c r="H70" s="8">
        <f t="shared" ref="H70:H73" si="6">TRUNC(F70*G70,(2))</f>
        <v>674.93</v>
      </c>
    </row>
    <row r="71" spans="2:8" ht="38.25">
      <c r="B71" s="170" t="s">
        <v>2277</v>
      </c>
      <c r="C71" s="170" t="s">
        <v>106</v>
      </c>
      <c r="D71" s="3" t="s">
        <v>107</v>
      </c>
      <c r="E71" s="4" t="s">
        <v>108</v>
      </c>
      <c r="F71" s="5" t="s">
        <v>129</v>
      </c>
      <c r="G71" s="5">
        <v>0.89</v>
      </c>
      <c r="H71" s="8">
        <f t="shared" si="6"/>
        <v>9637.81</v>
      </c>
    </row>
    <row r="72" spans="2:8" ht="25.5">
      <c r="B72" s="170" t="s">
        <v>2278</v>
      </c>
      <c r="C72" s="170" t="s">
        <v>130</v>
      </c>
      <c r="D72" s="3" t="s">
        <v>131</v>
      </c>
      <c r="E72" s="4" t="s">
        <v>75</v>
      </c>
      <c r="F72" s="5" t="s">
        <v>132</v>
      </c>
      <c r="G72" s="5">
        <v>90.34</v>
      </c>
      <c r="H72" s="8">
        <f t="shared" si="6"/>
        <v>59714.74</v>
      </c>
    </row>
    <row r="73" spans="2:8" ht="25.5">
      <c r="B73" s="170" t="s">
        <v>2279</v>
      </c>
      <c r="C73" s="170" t="s">
        <v>133</v>
      </c>
      <c r="D73" s="3" t="s">
        <v>134</v>
      </c>
      <c r="E73" s="4" t="s">
        <v>75</v>
      </c>
      <c r="F73" s="5" t="s">
        <v>135</v>
      </c>
      <c r="G73" s="5">
        <v>46.5</v>
      </c>
      <c r="H73" s="8">
        <f t="shared" si="6"/>
        <v>20460</v>
      </c>
    </row>
    <row r="74" spans="2:8" ht="15" customHeight="1">
      <c r="B74" s="173"/>
      <c r="C74" s="7"/>
      <c r="D74" s="193" t="s">
        <v>1163</v>
      </c>
      <c r="E74" s="194"/>
      <c r="F74" s="195"/>
      <c r="G74" s="195"/>
      <c r="H74" s="196">
        <f>SUM(H58:H73)</f>
        <v>1052684.2600000002</v>
      </c>
    </row>
    <row r="75" spans="2:8" s="134" customFormat="1" ht="15" customHeight="1">
      <c r="B75" s="168" t="s">
        <v>136</v>
      </c>
      <c r="C75" s="168"/>
      <c r="D75" s="185" t="s">
        <v>137</v>
      </c>
      <c r="E75" s="185"/>
      <c r="F75" s="185"/>
      <c r="G75" s="185"/>
      <c r="H75" s="192"/>
    </row>
    <row r="76" spans="2:8" s="134" customFormat="1" ht="15" customHeight="1">
      <c r="B76" s="169" t="s">
        <v>138</v>
      </c>
      <c r="C76" s="169"/>
      <c r="D76" s="187" t="s">
        <v>139</v>
      </c>
      <c r="E76" s="187"/>
      <c r="F76" s="187"/>
      <c r="G76" s="187"/>
      <c r="H76" s="190"/>
    </row>
    <row r="77" spans="2:8" ht="38.25">
      <c r="B77" s="170" t="s">
        <v>2280</v>
      </c>
      <c r="C77" s="170" t="s">
        <v>140</v>
      </c>
      <c r="D77" s="3" t="s">
        <v>141</v>
      </c>
      <c r="E77" s="4" t="s">
        <v>75</v>
      </c>
      <c r="F77" s="5" t="s">
        <v>142</v>
      </c>
      <c r="G77" s="5">
        <v>232.16</v>
      </c>
      <c r="H77" s="8">
        <f>TRUNC(F77*G77,(2))</f>
        <v>12304.48</v>
      </c>
    </row>
    <row r="78" spans="2:8" s="134" customFormat="1" ht="15" customHeight="1">
      <c r="B78" s="169" t="s">
        <v>143</v>
      </c>
      <c r="C78" s="169"/>
      <c r="D78" s="187" t="s">
        <v>144</v>
      </c>
      <c r="E78" s="187"/>
      <c r="F78" s="187"/>
      <c r="G78" s="187"/>
      <c r="H78" s="190"/>
    </row>
    <row r="79" spans="2:8" ht="51">
      <c r="B79" s="170" t="s">
        <v>2281</v>
      </c>
      <c r="C79" s="170" t="s">
        <v>145</v>
      </c>
      <c r="D79" s="3" t="s">
        <v>146</v>
      </c>
      <c r="E79" s="4" t="s">
        <v>24</v>
      </c>
      <c r="F79" s="5" t="s">
        <v>147</v>
      </c>
      <c r="G79" s="5">
        <v>142.76</v>
      </c>
      <c r="H79" s="8">
        <f t="shared" ref="H79:H80" si="7">TRUNC(F79*G79,(2))</f>
        <v>107384.07</v>
      </c>
    </row>
    <row r="80" spans="2:8" ht="51">
      <c r="B80" s="170" t="s">
        <v>2282</v>
      </c>
      <c r="C80" s="170" t="s">
        <v>148</v>
      </c>
      <c r="D80" s="3" t="s">
        <v>149</v>
      </c>
      <c r="E80" s="4" t="s">
        <v>24</v>
      </c>
      <c r="F80" s="5" t="s">
        <v>150</v>
      </c>
      <c r="G80" s="5">
        <v>96.75</v>
      </c>
      <c r="H80" s="8">
        <f t="shared" si="7"/>
        <v>181599.75</v>
      </c>
    </row>
    <row r="81" spans="2:8" s="134" customFormat="1" ht="15" customHeight="1">
      <c r="B81" s="169" t="s">
        <v>151</v>
      </c>
      <c r="C81" s="169"/>
      <c r="D81" s="187" t="s">
        <v>152</v>
      </c>
      <c r="E81" s="187"/>
      <c r="F81" s="187"/>
      <c r="G81" s="187"/>
      <c r="H81" s="190"/>
    </row>
    <row r="82" spans="2:8" ht="24.95" customHeight="1">
      <c r="B82" s="170" t="s">
        <v>2283</v>
      </c>
      <c r="C82" s="170" t="s">
        <v>153</v>
      </c>
      <c r="D82" s="3" t="s">
        <v>154</v>
      </c>
      <c r="E82" s="4" t="s">
        <v>112</v>
      </c>
      <c r="F82" s="5" t="s">
        <v>155</v>
      </c>
      <c r="G82" s="5">
        <v>17.649999999999999</v>
      </c>
      <c r="H82" s="8">
        <f t="shared" ref="H82:H87" si="8">TRUNC(F82*G82,(2))</f>
        <v>85143.6</v>
      </c>
    </row>
    <row r="83" spans="2:8" ht="24.95" customHeight="1">
      <c r="B83" s="170" t="s">
        <v>2284</v>
      </c>
      <c r="C83" s="170" t="s">
        <v>156</v>
      </c>
      <c r="D83" s="3" t="s">
        <v>157</v>
      </c>
      <c r="E83" s="4" t="s">
        <v>112</v>
      </c>
      <c r="F83" s="5" t="s">
        <v>158</v>
      </c>
      <c r="G83" s="5">
        <v>16.45</v>
      </c>
      <c r="H83" s="8">
        <f t="shared" si="8"/>
        <v>102138.05</v>
      </c>
    </row>
    <row r="84" spans="2:8" ht="24.95" customHeight="1">
      <c r="B84" s="170" t="s">
        <v>2285</v>
      </c>
      <c r="C84" s="170" t="s">
        <v>159</v>
      </c>
      <c r="D84" s="3" t="s">
        <v>160</v>
      </c>
      <c r="E84" s="4" t="s">
        <v>112</v>
      </c>
      <c r="F84" s="5" t="s">
        <v>161</v>
      </c>
      <c r="G84" s="5">
        <v>14.65</v>
      </c>
      <c r="H84" s="8">
        <f t="shared" si="8"/>
        <v>110607.5</v>
      </c>
    </row>
    <row r="85" spans="2:8" ht="24.95" customHeight="1">
      <c r="B85" s="170" t="s">
        <v>2286</v>
      </c>
      <c r="C85" s="170" t="s">
        <v>162</v>
      </c>
      <c r="D85" s="3" t="s">
        <v>163</v>
      </c>
      <c r="E85" s="4" t="s">
        <v>112</v>
      </c>
      <c r="F85" s="5" t="s">
        <v>164</v>
      </c>
      <c r="G85" s="5">
        <v>12.37</v>
      </c>
      <c r="H85" s="8">
        <f t="shared" si="8"/>
        <v>20831.080000000002</v>
      </c>
    </row>
    <row r="86" spans="2:8" ht="24.95" customHeight="1">
      <c r="B86" s="170" t="s">
        <v>2287</v>
      </c>
      <c r="C86" s="170" t="s">
        <v>165</v>
      </c>
      <c r="D86" s="3" t="s">
        <v>166</v>
      </c>
      <c r="E86" s="4" t="s">
        <v>112</v>
      </c>
      <c r="F86" s="5" t="s">
        <v>167</v>
      </c>
      <c r="G86" s="5">
        <v>11.67</v>
      </c>
      <c r="H86" s="8">
        <f t="shared" si="8"/>
        <v>28684.86</v>
      </c>
    </row>
    <row r="87" spans="2:8" ht="24.95" customHeight="1">
      <c r="B87" s="170" t="s">
        <v>2288</v>
      </c>
      <c r="C87" s="170" t="s">
        <v>168</v>
      </c>
      <c r="D87" s="3" t="s">
        <v>169</v>
      </c>
      <c r="E87" s="4" t="s">
        <v>112</v>
      </c>
      <c r="F87" s="5" t="s">
        <v>170</v>
      </c>
      <c r="G87" s="5">
        <v>12.96</v>
      </c>
      <c r="H87" s="8">
        <f t="shared" si="8"/>
        <v>19569.599999999999</v>
      </c>
    </row>
    <row r="88" spans="2:8" s="134" customFormat="1" ht="15" customHeight="1">
      <c r="B88" s="169" t="s">
        <v>171</v>
      </c>
      <c r="C88" s="169"/>
      <c r="D88" s="187" t="s">
        <v>172</v>
      </c>
      <c r="E88" s="187"/>
      <c r="F88" s="187"/>
      <c r="G88" s="187"/>
      <c r="H88" s="190"/>
    </row>
    <row r="89" spans="2:8" ht="36.75" customHeight="1">
      <c r="B89" s="170" t="s">
        <v>2289</v>
      </c>
      <c r="C89" s="170" t="s">
        <v>1956</v>
      </c>
      <c r="D89" s="3" t="s">
        <v>173</v>
      </c>
      <c r="E89" s="4" t="s">
        <v>75</v>
      </c>
      <c r="F89" s="5" t="s">
        <v>174</v>
      </c>
      <c r="G89" s="5">
        <f>CPU!H132</f>
        <v>596.64595999999995</v>
      </c>
      <c r="H89" s="8">
        <f>TRUNC(F89*G89,(2))</f>
        <v>238956.7</v>
      </c>
    </row>
    <row r="90" spans="2:8" s="134" customFormat="1" ht="15" customHeight="1">
      <c r="B90" s="169" t="s">
        <v>175</v>
      </c>
      <c r="C90" s="169"/>
      <c r="D90" s="187" t="s">
        <v>176</v>
      </c>
      <c r="E90" s="187"/>
      <c r="F90" s="187"/>
      <c r="G90" s="187"/>
      <c r="H90" s="190"/>
    </row>
    <row r="91" spans="2:8" ht="25.5">
      <c r="B91" s="170" t="s">
        <v>2290</v>
      </c>
      <c r="C91" s="170" t="s">
        <v>177</v>
      </c>
      <c r="D91" s="3" t="s">
        <v>178</v>
      </c>
      <c r="E91" s="4" t="s">
        <v>24</v>
      </c>
      <c r="F91" s="5" t="s">
        <v>179</v>
      </c>
      <c r="G91" s="5">
        <v>42.22</v>
      </c>
      <c r="H91" s="8">
        <f>TRUNC(F91*G91,(2))</f>
        <v>116282.32</v>
      </c>
    </row>
    <row r="92" spans="2:8" s="134" customFormat="1" ht="15" customHeight="1">
      <c r="B92" s="174"/>
      <c r="C92" s="170"/>
      <c r="D92" s="193" t="s">
        <v>1164</v>
      </c>
      <c r="E92" s="194"/>
      <c r="F92" s="195"/>
      <c r="G92" s="195"/>
      <c r="H92" s="196">
        <f>SUM(H77:H91)</f>
        <v>1023502.01</v>
      </c>
    </row>
    <row r="93" spans="2:8" s="134" customFormat="1" ht="15" customHeight="1">
      <c r="B93" s="169" t="s">
        <v>180</v>
      </c>
      <c r="C93" s="169"/>
      <c r="D93" s="187" t="s">
        <v>181</v>
      </c>
      <c r="E93" s="187"/>
      <c r="F93" s="187"/>
      <c r="G93" s="187"/>
      <c r="H93" s="190" t="s">
        <v>1154</v>
      </c>
    </row>
    <row r="94" spans="2:8" s="134" customFormat="1" ht="15" customHeight="1">
      <c r="B94" s="169" t="s">
        <v>182</v>
      </c>
      <c r="C94" s="169"/>
      <c r="D94" s="187" t="s">
        <v>183</v>
      </c>
      <c r="E94" s="187"/>
      <c r="F94" s="187"/>
      <c r="G94" s="187"/>
      <c r="H94" s="190" t="s">
        <v>1154</v>
      </c>
    </row>
    <row r="95" spans="2:8" s="134" customFormat="1" ht="15" customHeight="1">
      <c r="B95" s="169" t="s">
        <v>184</v>
      </c>
      <c r="C95" s="169"/>
      <c r="D95" s="187" t="s">
        <v>185</v>
      </c>
      <c r="E95" s="187"/>
      <c r="F95" s="187"/>
      <c r="G95" s="187"/>
      <c r="H95" s="190" t="s">
        <v>1154</v>
      </c>
    </row>
    <row r="96" spans="2:8" s="134" customFormat="1" ht="15" customHeight="1">
      <c r="B96" s="169" t="s">
        <v>186</v>
      </c>
      <c r="C96" s="169"/>
      <c r="D96" s="187" t="s">
        <v>187</v>
      </c>
      <c r="E96" s="187"/>
      <c r="F96" s="187"/>
      <c r="G96" s="187"/>
      <c r="H96" s="190" t="s">
        <v>1154</v>
      </c>
    </row>
    <row r="97" spans="2:8" ht="66.75" customHeight="1">
      <c r="B97" s="170" t="s">
        <v>2291</v>
      </c>
      <c r="C97" s="170" t="s">
        <v>2207</v>
      </c>
      <c r="D97" s="3" t="s">
        <v>188</v>
      </c>
      <c r="E97" s="4" t="s">
        <v>24</v>
      </c>
      <c r="F97" s="5" t="s">
        <v>189</v>
      </c>
      <c r="G97" s="5">
        <v>72.61</v>
      </c>
      <c r="H97" s="8">
        <f>TRUNC(F97*G97,(2))</f>
        <v>41024.65</v>
      </c>
    </row>
    <row r="98" spans="2:8" s="134" customFormat="1" ht="15" customHeight="1">
      <c r="B98" s="169" t="s">
        <v>190</v>
      </c>
      <c r="C98" s="169"/>
      <c r="D98" s="187" t="s">
        <v>152</v>
      </c>
      <c r="E98" s="187"/>
      <c r="F98" s="187"/>
      <c r="G98" s="187"/>
      <c r="H98" s="190" t="s">
        <v>1154</v>
      </c>
    </row>
    <row r="99" spans="2:8" ht="51">
      <c r="B99" s="170" t="s">
        <v>2292</v>
      </c>
      <c r="C99" s="170" t="s">
        <v>191</v>
      </c>
      <c r="D99" s="3" t="s">
        <v>192</v>
      </c>
      <c r="E99" s="4" t="s">
        <v>112</v>
      </c>
      <c r="F99" s="5" t="s">
        <v>193</v>
      </c>
      <c r="G99" s="432">
        <f>20.93*1.2173</f>
        <v>25.478089000000001</v>
      </c>
      <c r="H99" s="8">
        <f t="shared" ref="H99:H104" si="9">TRUNC(F99*G99,(2))</f>
        <v>6866.34</v>
      </c>
    </row>
    <row r="100" spans="2:8" ht="51">
      <c r="B100" s="170" t="s">
        <v>2293</v>
      </c>
      <c r="C100" s="170" t="s">
        <v>194</v>
      </c>
      <c r="D100" s="3" t="s">
        <v>195</v>
      </c>
      <c r="E100" s="4" t="s">
        <v>112</v>
      </c>
      <c r="F100" s="5" t="s">
        <v>196</v>
      </c>
      <c r="G100" s="432">
        <f>19.76*1.2173</f>
        <v>24.053848000000002</v>
      </c>
      <c r="H100" s="8">
        <f t="shared" si="9"/>
        <v>49081.87</v>
      </c>
    </row>
    <row r="101" spans="2:8" ht="51">
      <c r="B101" s="170" t="s">
        <v>2294</v>
      </c>
      <c r="C101" s="170" t="s">
        <v>197</v>
      </c>
      <c r="D101" s="3" t="s">
        <v>198</v>
      </c>
      <c r="E101" s="4" t="s">
        <v>112</v>
      </c>
      <c r="F101" s="5" t="s">
        <v>199</v>
      </c>
      <c r="G101" s="432">
        <f>16.51*1.2173</f>
        <v>20.097623000000002</v>
      </c>
      <c r="H101" s="8">
        <f t="shared" si="9"/>
        <v>17531.150000000001</v>
      </c>
    </row>
    <row r="102" spans="2:8" ht="51">
      <c r="B102" s="170" t="s">
        <v>2295</v>
      </c>
      <c r="C102" s="170" t="s">
        <v>200</v>
      </c>
      <c r="D102" s="3" t="s">
        <v>201</v>
      </c>
      <c r="E102" s="4" t="s">
        <v>112</v>
      </c>
      <c r="F102" s="5" t="s">
        <v>202</v>
      </c>
      <c r="G102" s="432">
        <f>13.9*1.2173</f>
        <v>16.920470000000002</v>
      </c>
      <c r="H102" s="8">
        <f t="shared" si="9"/>
        <v>39272.410000000003</v>
      </c>
    </row>
    <row r="103" spans="2:8" ht="51">
      <c r="B103" s="170" t="s">
        <v>2296</v>
      </c>
      <c r="C103" s="170" t="s">
        <v>203</v>
      </c>
      <c r="D103" s="3" t="s">
        <v>204</v>
      </c>
      <c r="E103" s="4" t="s">
        <v>112</v>
      </c>
      <c r="F103" s="5" t="s">
        <v>205</v>
      </c>
      <c r="G103" s="432">
        <f>13.13*1.2173</f>
        <v>15.983149000000001</v>
      </c>
      <c r="H103" s="8">
        <f t="shared" si="9"/>
        <v>45061.29</v>
      </c>
    </row>
    <row r="104" spans="2:8" ht="51">
      <c r="B104" s="170" t="s">
        <v>2297</v>
      </c>
      <c r="C104" s="170" t="s">
        <v>206</v>
      </c>
      <c r="D104" s="3" t="s">
        <v>207</v>
      </c>
      <c r="E104" s="4" t="s">
        <v>112</v>
      </c>
      <c r="F104" s="5" t="s">
        <v>208</v>
      </c>
      <c r="G104" s="432">
        <f>14.64*1.2173</f>
        <v>17.821272</v>
      </c>
      <c r="H104" s="8">
        <f t="shared" si="9"/>
        <v>7312.06</v>
      </c>
    </row>
    <row r="105" spans="2:8" s="134" customFormat="1" ht="15" customHeight="1">
      <c r="B105" s="169" t="s">
        <v>209</v>
      </c>
      <c r="C105" s="169"/>
      <c r="D105" s="187" t="s">
        <v>172</v>
      </c>
      <c r="E105" s="187"/>
      <c r="F105" s="187"/>
      <c r="G105" s="187"/>
      <c r="H105" s="190" t="s">
        <v>1154</v>
      </c>
    </row>
    <row r="106" spans="2:8" ht="50.25" customHeight="1">
      <c r="B106" s="170" t="s">
        <v>2298</v>
      </c>
      <c r="C106" s="170" t="s">
        <v>210</v>
      </c>
      <c r="D106" s="3" t="s">
        <v>211</v>
      </c>
      <c r="E106" s="4" t="s">
        <v>75</v>
      </c>
      <c r="F106" s="5" t="s">
        <v>212</v>
      </c>
      <c r="G106" s="432">
        <f>437.68*1.2173</f>
        <v>532.78786400000001</v>
      </c>
      <c r="H106" s="8">
        <f>TRUNC(F106*G106,(2))</f>
        <v>29601.69</v>
      </c>
    </row>
    <row r="107" spans="2:8" s="134" customFormat="1" ht="15" customHeight="1">
      <c r="B107" s="169" t="s">
        <v>213</v>
      </c>
      <c r="C107" s="169"/>
      <c r="D107" s="187" t="s">
        <v>214</v>
      </c>
      <c r="E107" s="187"/>
      <c r="F107" s="187"/>
      <c r="G107" s="187"/>
      <c r="H107" s="190" t="s">
        <v>1154</v>
      </c>
    </row>
    <row r="108" spans="2:8" s="134" customFormat="1" ht="15" customHeight="1">
      <c r="B108" s="169" t="s">
        <v>215</v>
      </c>
      <c r="C108" s="169"/>
      <c r="D108" s="187" t="s">
        <v>187</v>
      </c>
      <c r="E108" s="187"/>
      <c r="F108" s="187"/>
      <c r="G108" s="187"/>
      <c r="H108" s="190" t="s">
        <v>1154</v>
      </c>
    </row>
    <row r="109" spans="2:8" ht="51">
      <c r="B109" s="170" t="s">
        <v>2299</v>
      </c>
      <c r="C109" s="170" t="s">
        <v>216</v>
      </c>
      <c r="D109" s="3" t="s">
        <v>217</v>
      </c>
      <c r="E109" s="4" t="s">
        <v>24</v>
      </c>
      <c r="F109" s="5" t="s">
        <v>218</v>
      </c>
      <c r="G109" s="5">
        <v>209.22</v>
      </c>
      <c r="H109" s="8">
        <f>TRUNC(F109*G109,(2))</f>
        <v>151130.06</v>
      </c>
    </row>
    <row r="110" spans="2:8" s="134" customFormat="1" ht="15" customHeight="1">
      <c r="B110" s="169" t="s">
        <v>219</v>
      </c>
      <c r="C110" s="169"/>
      <c r="D110" s="187" t="s">
        <v>152</v>
      </c>
      <c r="E110" s="187"/>
      <c r="F110" s="187"/>
      <c r="G110" s="187"/>
      <c r="H110" s="190">
        <f t="shared" ref="H87:H150" si="10">F110*G110</f>
        <v>0</v>
      </c>
    </row>
    <row r="111" spans="2:8" ht="26.25" customHeight="1">
      <c r="B111" s="170" t="s">
        <v>2300</v>
      </c>
      <c r="C111" s="170" t="s">
        <v>220</v>
      </c>
      <c r="D111" s="3" t="s">
        <v>221</v>
      </c>
      <c r="E111" s="4" t="s">
        <v>112</v>
      </c>
      <c r="F111" s="5" t="s">
        <v>222</v>
      </c>
      <c r="G111" s="5">
        <v>16.399999999999999</v>
      </c>
      <c r="H111" s="8">
        <f t="shared" ref="H111:H118" si="11">TRUNC(F111*G111,(2))</f>
        <v>3535.84</v>
      </c>
    </row>
    <row r="112" spans="2:8" ht="51">
      <c r="B112" s="170" t="s">
        <v>2301</v>
      </c>
      <c r="C112" s="170" t="s">
        <v>194</v>
      </c>
      <c r="D112" s="3" t="s">
        <v>195</v>
      </c>
      <c r="E112" s="4" t="s">
        <v>112</v>
      </c>
      <c r="F112" s="5" t="s">
        <v>223</v>
      </c>
      <c r="G112" s="432">
        <f>19.76*1.2173</f>
        <v>24.053848000000002</v>
      </c>
      <c r="H112" s="8">
        <f t="shared" si="11"/>
        <v>33021.120000000003</v>
      </c>
    </row>
    <row r="113" spans="2:8" ht="51">
      <c r="B113" s="170" t="s">
        <v>2302</v>
      </c>
      <c r="C113" s="170" t="s">
        <v>224</v>
      </c>
      <c r="D113" s="3" t="s">
        <v>225</v>
      </c>
      <c r="E113" s="4" t="s">
        <v>112</v>
      </c>
      <c r="F113" s="5" t="s">
        <v>226</v>
      </c>
      <c r="G113" s="432">
        <f>18.5*1.2173</f>
        <v>22.520050000000001</v>
      </c>
      <c r="H113" s="8">
        <f t="shared" si="11"/>
        <v>30098.04</v>
      </c>
    </row>
    <row r="114" spans="2:8" ht="51">
      <c r="B114" s="170" t="s">
        <v>2303</v>
      </c>
      <c r="C114" s="170" t="s">
        <v>197</v>
      </c>
      <c r="D114" s="3" t="s">
        <v>198</v>
      </c>
      <c r="E114" s="4" t="s">
        <v>112</v>
      </c>
      <c r="F114" s="5" t="s">
        <v>227</v>
      </c>
      <c r="G114" s="432">
        <f>16.51*1.2173</f>
        <v>20.097623000000002</v>
      </c>
      <c r="H114" s="8">
        <f t="shared" si="11"/>
        <v>28098.48</v>
      </c>
    </row>
    <row r="115" spans="2:8" ht="51">
      <c r="B115" s="170" t="s">
        <v>2304</v>
      </c>
      <c r="C115" s="170" t="s">
        <v>200</v>
      </c>
      <c r="D115" s="3" t="s">
        <v>201</v>
      </c>
      <c r="E115" s="4" t="s">
        <v>112</v>
      </c>
      <c r="F115" s="5" t="s">
        <v>228</v>
      </c>
      <c r="G115" s="432">
        <f>13.9*1.2173</f>
        <v>16.920470000000002</v>
      </c>
      <c r="H115" s="8">
        <f t="shared" si="11"/>
        <v>14424.7</v>
      </c>
    </row>
    <row r="116" spans="2:8" ht="51">
      <c r="B116" s="170" t="s">
        <v>2305</v>
      </c>
      <c r="C116" s="170" t="s">
        <v>203</v>
      </c>
      <c r="D116" s="3" t="s">
        <v>204</v>
      </c>
      <c r="E116" s="4" t="s">
        <v>112</v>
      </c>
      <c r="F116" s="5" t="s">
        <v>229</v>
      </c>
      <c r="G116" s="432">
        <f>13.13*1.2173</f>
        <v>15.983149000000001</v>
      </c>
      <c r="H116" s="8">
        <f t="shared" si="11"/>
        <v>10109.34</v>
      </c>
    </row>
    <row r="117" spans="2:8" ht="51">
      <c r="B117" s="170" t="s">
        <v>2306</v>
      </c>
      <c r="C117" s="170" t="s">
        <v>206</v>
      </c>
      <c r="D117" s="3" t="s">
        <v>207</v>
      </c>
      <c r="E117" s="4" t="s">
        <v>112</v>
      </c>
      <c r="F117" s="5" t="s">
        <v>230</v>
      </c>
      <c r="G117" s="432">
        <f>14.64*1.2173</f>
        <v>17.821272</v>
      </c>
      <c r="H117" s="8">
        <f t="shared" si="11"/>
        <v>5979.03</v>
      </c>
    </row>
    <row r="118" spans="2:8" ht="51">
      <c r="B118" s="170" t="s">
        <v>2307</v>
      </c>
      <c r="C118" s="170" t="s">
        <v>231</v>
      </c>
      <c r="D118" s="3" t="s">
        <v>232</v>
      </c>
      <c r="E118" s="4" t="s">
        <v>112</v>
      </c>
      <c r="F118" s="5" t="s">
        <v>233</v>
      </c>
      <c r="G118" s="432">
        <f>14.24*1.2173</f>
        <v>17.334352000000003</v>
      </c>
      <c r="H118" s="8">
        <f t="shared" si="11"/>
        <v>11688.55</v>
      </c>
    </row>
    <row r="119" spans="2:8" s="134" customFormat="1" ht="15" customHeight="1">
      <c r="B119" s="169" t="s">
        <v>234</v>
      </c>
      <c r="C119" s="169"/>
      <c r="D119" s="187" t="s">
        <v>172</v>
      </c>
      <c r="E119" s="187"/>
      <c r="F119" s="187"/>
      <c r="G119" s="187"/>
      <c r="H119" s="190" t="s">
        <v>1154</v>
      </c>
    </row>
    <row r="120" spans="2:8" ht="53.25" customHeight="1">
      <c r="B120" s="170" t="s">
        <v>2308</v>
      </c>
      <c r="C120" s="170" t="s">
        <v>1957</v>
      </c>
      <c r="D120" s="3" t="s">
        <v>235</v>
      </c>
      <c r="E120" s="4" t="s">
        <v>75</v>
      </c>
      <c r="F120" s="5" t="s">
        <v>236</v>
      </c>
      <c r="G120" s="5">
        <f>CPU!H141</f>
        <v>579.97438999999997</v>
      </c>
      <c r="H120" s="8">
        <f>TRUNC(F120*G120,(2))</f>
        <v>43527.07</v>
      </c>
    </row>
    <row r="121" spans="2:8" s="134" customFormat="1" ht="15" customHeight="1">
      <c r="B121" s="169" t="s">
        <v>237</v>
      </c>
      <c r="C121" s="169"/>
      <c r="D121" s="187" t="s">
        <v>238</v>
      </c>
      <c r="E121" s="187"/>
      <c r="F121" s="187"/>
      <c r="G121" s="187"/>
      <c r="H121" s="190" t="s">
        <v>1154</v>
      </c>
    </row>
    <row r="122" spans="2:8" s="134" customFormat="1" ht="15" customHeight="1">
      <c r="B122" s="169" t="s">
        <v>239</v>
      </c>
      <c r="C122" s="169"/>
      <c r="D122" s="187" t="s">
        <v>187</v>
      </c>
      <c r="E122" s="187"/>
      <c r="F122" s="187"/>
      <c r="G122" s="187"/>
      <c r="H122" s="190" t="s">
        <v>1154</v>
      </c>
    </row>
    <row r="123" spans="2:8" ht="51">
      <c r="B123" s="170" t="s">
        <v>2309</v>
      </c>
      <c r="C123" s="170" t="s">
        <v>240</v>
      </c>
      <c r="D123" s="3" t="s">
        <v>241</v>
      </c>
      <c r="E123" s="4" t="s">
        <v>24</v>
      </c>
      <c r="F123" s="5" t="s">
        <v>242</v>
      </c>
      <c r="G123" s="5">
        <v>254.22</v>
      </c>
      <c r="H123" s="8">
        <f>TRUNC(F123*G123,(2))</f>
        <v>228645.46</v>
      </c>
    </row>
    <row r="124" spans="2:8" s="134" customFormat="1" ht="15" customHeight="1">
      <c r="B124" s="169" t="s">
        <v>243</v>
      </c>
      <c r="C124" s="169"/>
      <c r="D124" s="187" t="s">
        <v>152</v>
      </c>
      <c r="E124" s="187"/>
      <c r="F124" s="187"/>
      <c r="G124" s="187"/>
      <c r="H124" s="190" t="s">
        <v>1154</v>
      </c>
    </row>
    <row r="125" spans="2:8" ht="51">
      <c r="B125" s="170" t="s">
        <v>2310</v>
      </c>
      <c r="C125" s="170" t="s">
        <v>244</v>
      </c>
      <c r="D125" s="3" t="s">
        <v>245</v>
      </c>
      <c r="E125" s="4" t="s">
        <v>112</v>
      </c>
      <c r="F125" s="5" t="s">
        <v>246</v>
      </c>
      <c r="G125" s="432">
        <f>18*1.2173</f>
        <v>21.9114</v>
      </c>
      <c r="H125" s="8">
        <f t="shared" ref="H125:H126" si="12">TRUNC(F125*G125,(2))</f>
        <v>87323.5</v>
      </c>
    </row>
    <row r="126" spans="2:8" ht="51">
      <c r="B126" s="170" t="s">
        <v>2311</v>
      </c>
      <c r="C126" s="170" t="s">
        <v>247</v>
      </c>
      <c r="D126" s="3" t="s">
        <v>248</v>
      </c>
      <c r="E126" s="4" t="s">
        <v>112</v>
      </c>
      <c r="F126" s="5" t="s">
        <v>249</v>
      </c>
      <c r="G126" s="432">
        <f>17.16*1.2173</f>
        <v>20.888868000000002</v>
      </c>
      <c r="H126" s="8">
        <f t="shared" si="12"/>
        <v>112866.73</v>
      </c>
    </row>
    <row r="127" spans="2:8" s="134" customFormat="1" ht="15" customHeight="1">
      <c r="B127" s="169" t="s">
        <v>250</v>
      </c>
      <c r="C127" s="169"/>
      <c r="D127" s="187" t="s">
        <v>172</v>
      </c>
      <c r="E127" s="187"/>
      <c r="F127" s="187"/>
      <c r="G127" s="187"/>
      <c r="H127" s="188"/>
    </row>
    <row r="128" spans="2:8" ht="52.5" customHeight="1">
      <c r="B128" s="170" t="s">
        <v>2312</v>
      </c>
      <c r="C128" s="170" t="s">
        <v>1957</v>
      </c>
      <c r="D128" s="3" t="s">
        <v>235</v>
      </c>
      <c r="E128" s="4" t="s">
        <v>75</v>
      </c>
      <c r="F128" s="5" t="s">
        <v>251</v>
      </c>
      <c r="G128" s="5">
        <f>CPU!H141</f>
        <v>579.97438999999997</v>
      </c>
      <c r="H128" s="8">
        <f>TRUNC(F128*G128,(2))</f>
        <v>93404.87</v>
      </c>
    </row>
    <row r="129" spans="2:8" s="134" customFormat="1" ht="15" customHeight="1">
      <c r="B129" s="169" t="s">
        <v>252</v>
      </c>
      <c r="C129" s="169"/>
      <c r="D129" s="187" t="s">
        <v>253</v>
      </c>
      <c r="E129" s="187"/>
      <c r="F129" s="187"/>
      <c r="G129" s="187"/>
      <c r="H129" s="188"/>
    </row>
    <row r="130" spans="2:8" ht="25.5">
      <c r="B130" s="170" t="s">
        <v>2313</v>
      </c>
      <c r="C130" s="170" t="s">
        <v>1958</v>
      </c>
      <c r="D130" s="3" t="s">
        <v>254</v>
      </c>
      <c r="E130" s="4" t="s">
        <v>24</v>
      </c>
      <c r="F130" s="5">
        <v>2776.67</v>
      </c>
      <c r="G130" s="5">
        <f>CPU!H150</f>
        <v>284.98453999999998</v>
      </c>
      <c r="H130" s="8">
        <f t="shared" ref="H130:H131" si="13">TRUNC(F130*G130,(2))</f>
        <v>791308.02</v>
      </c>
    </row>
    <row r="131" spans="2:8" ht="25.5">
      <c r="B131" s="170" t="s">
        <v>2314</v>
      </c>
      <c r="C131" s="170" t="s">
        <v>1961</v>
      </c>
      <c r="D131" s="85" t="s">
        <v>1801</v>
      </c>
      <c r="E131" s="96" t="s">
        <v>24</v>
      </c>
      <c r="F131" s="5">
        <v>2873.33</v>
      </c>
      <c r="G131" s="5">
        <f>CPU!H159</f>
        <v>257.39654000000002</v>
      </c>
      <c r="H131" s="8">
        <f t="shared" si="13"/>
        <v>739585.2</v>
      </c>
    </row>
    <row r="132" spans="2:8" s="134" customFormat="1" ht="15" customHeight="1">
      <c r="B132" s="169" t="s">
        <v>255</v>
      </c>
      <c r="C132" s="169"/>
      <c r="D132" s="187" t="s">
        <v>256</v>
      </c>
      <c r="E132" s="187"/>
      <c r="F132" s="187"/>
      <c r="G132" s="187"/>
      <c r="H132" s="188"/>
    </row>
    <row r="133" spans="2:8" s="134" customFormat="1" ht="15" customHeight="1">
      <c r="B133" s="169" t="s">
        <v>257</v>
      </c>
      <c r="C133" s="169"/>
      <c r="D133" s="187" t="s">
        <v>187</v>
      </c>
      <c r="E133" s="187"/>
      <c r="F133" s="187"/>
      <c r="G133" s="187"/>
      <c r="H133" s="188"/>
    </row>
    <row r="134" spans="2:8" ht="51">
      <c r="B134" s="170" t="s">
        <v>2315</v>
      </c>
      <c r="C134" s="170" t="s">
        <v>258</v>
      </c>
      <c r="D134" s="3" t="s">
        <v>259</v>
      </c>
      <c r="E134" s="4" t="s">
        <v>24</v>
      </c>
      <c r="F134" s="5" t="s">
        <v>260</v>
      </c>
      <c r="G134" s="5">
        <v>39.97</v>
      </c>
      <c r="H134" s="8">
        <f>TRUNC(F134*G134,(2))</f>
        <v>100592.49</v>
      </c>
    </row>
    <row r="135" spans="2:8" s="134" customFormat="1" ht="15" customHeight="1">
      <c r="B135" s="169" t="s">
        <v>261</v>
      </c>
      <c r="C135" s="169"/>
      <c r="D135" s="187" t="s">
        <v>152</v>
      </c>
      <c r="E135" s="187"/>
      <c r="F135" s="187"/>
      <c r="G135" s="187"/>
      <c r="H135" s="190" t="s">
        <v>1154</v>
      </c>
    </row>
    <row r="136" spans="2:8" ht="38.25">
      <c r="B136" s="170" t="s">
        <v>2316</v>
      </c>
      <c r="C136" s="170" t="s">
        <v>262</v>
      </c>
      <c r="D136" s="3" t="s">
        <v>263</v>
      </c>
      <c r="E136" s="4" t="s">
        <v>112</v>
      </c>
      <c r="F136" s="5" t="s">
        <v>264</v>
      </c>
      <c r="G136" s="5">
        <v>15.89</v>
      </c>
      <c r="H136" s="8">
        <f t="shared" ref="H136:H139" si="14">TRUNC(F136*G136,(2))</f>
        <v>122894.84</v>
      </c>
    </row>
    <row r="137" spans="2:8" ht="38.25">
      <c r="B137" s="170" t="s">
        <v>2317</v>
      </c>
      <c r="C137" s="170" t="s">
        <v>265</v>
      </c>
      <c r="D137" s="3" t="s">
        <v>266</v>
      </c>
      <c r="E137" s="4" t="s">
        <v>112</v>
      </c>
      <c r="F137" s="5" t="s">
        <v>267</v>
      </c>
      <c r="G137" s="5">
        <v>15.1</v>
      </c>
      <c r="H137" s="8">
        <f t="shared" si="14"/>
        <v>106154.51</v>
      </c>
    </row>
    <row r="138" spans="2:8" ht="38.25">
      <c r="B138" s="170" t="s">
        <v>2318</v>
      </c>
      <c r="C138" s="170" t="s">
        <v>268</v>
      </c>
      <c r="D138" s="3" t="s">
        <v>269</v>
      </c>
      <c r="E138" s="4" t="s">
        <v>112</v>
      </c>
      <c r="F138" s="5" t="s">
        <v>270</v>
      </c>
      <c r="G138" s="5">
        <v>13.55</v>
      </c>
      <c r="H138" s="8">
        <f t="shared" si="14"/>
        <v>32299.13</v>
      </c>
    </row>
    <row r="139" spans="2:8" ht="38.25">
      <c r="B139" s="170" t="s">
        <v>2319</v>
      </c>
      <c r="C139" s="170" t="s">
        <v>271</v>
      </c>
      <c r="D139" s="3" t="s">
        <v>272</v>
      </c>
      <c r="E139" s="4" t="s">
        <v>112</v>
      </c>
      <c r="F139" s="5" t="s">
        <v>273</v>
      </c>
      <c r="G139" s="5">
        <v>11.5</v>
      </c>
      <c r="H139" s="8">
        <f t="shared" si="14"/>
        <v>18532.25</v>
      </c>
    </row>
    <row r="140" spans="2:8" s="134" customFormat="1" ht="15" customHeight="1">
      <c r="B140" s="169" t="s">
        <v>274</v>
      </c>
      <c r="C140" s="169"/>
      <c r="D140" s="187" t="s">
        <v>172</v>
      </c>
      <c r="E140" s="187"/>
      <c r="F140" s="187"/>
      <c r="G140" s="187"/>
      <c r="H140" s="190" t="s">
        <v>1154</v>
      </c>
    </row>
    <row r="141" spans="2:8" ht="38.25">
      <c r="B141" s="170" t="s">
        <v>2320</v>
      </c>
      <c r="C141" s="170" t="s">
        <v>275</v>
      </c>
      <c r="D141" s="3" t="s">
        <v>276</v>
      </c>
      <c r="E141" s="4" t="s">
        <v>75</v>
      </c>
      <c r="F141" s="5" t="s">
        <v>277</v>
      </c>
      <c r="G141" s="5">
        <v>598.51</v>
      </c>
      <c r="H141" s="8">
        <f>TRUNC(F141*G141,(2))</f>
        <v>164039.62</v>
      </c>
    </row>
    <row r="142" spans="2:8" s="134" customFormat="1" ht="15" customHeight="1">
      <c r="B142" s="169" t="s">
        <v>278</v>
      </c>
      <c r="C142" s="169"/>
      <c r="D142" s="187" t="s">
        <v>279</v>
      </c>
      <c r="E142" s="187"/>
      <c r="F142" s="187"/>
      <c r="G142" s="187"/>
      <c r="H142" s="190" t="s">
        <v>1154</v>
      </c>
    </row>
    <row r="143" spans="2:8" s="134" customFormat="1" ht="15" customHeight="1">
      <c r="B143" s="169" t="s">
        <v>280</v>
      </c>
      <c r="C143" s="169"/>
      <c r="D143" s="187" t="s">
        <v>187</v>
      </c>
      <c r="E143" s="187"/>
      <c r="F143" s="187"/>
      <c r="G143" s="187"/>
      <c r="H143" s="190" t="s">
        <v>1154</v>
      </c>
    </row>
    <row r="144" spans="2:8" ht="51">
      <c r="B144" s="170" t="s">
        <v>2321</v>
      </c>
      <c r="C144" s="170" t="s">
        <v>258</v>
      </c>
      <c r="D144" s="3" t="s">
        <v>259</v>
      </c>
      <c r="E144" s="4" t="s">
        <v>24</v>
      </c>
      <c r="F144" s="5" t="s">
        <v>281</v>
      </c>
      <c r="G144" s="5">
        <v>39.97</v>
      </c>
      <c r="H144" s="8">
        <f t="shared" ref="H144:H145" si="15">TRUNC(F144*G144,(2))</f>
        <v>8585.5499999999993</v>
      </c>
    </row>
    <row r="145" spans="2:8" ht="51">
      <c r="B145" s="170" t="s">
        <v>2322</v>
      </c>
      <c r="C145" s="170" t="s">
        <v>240</v>
      </c>
      <c r="D145" s="3" t="s">
        <v>282</v>
      </c>
      <c r="E145" s="4" t="s">
        <v>24</v>
      </c>
      <c r="F145" s="5" t="s">
        <v>283</v>
      </c>
      <c r="G145" s="5">
        <v>254.22</v>
      </c>
      <c r="H145" s="8">
        <f t="shared" si="15"/>
        <v>4347.16</v>
      </c>
    </row>
    <row r="146" spans="2:8" s="134" customFormat="1" ht="15" customHeight="1">
      <c r="B146" s="169" t="s">
        <v>284</v>
      </c>
      <c r="C146" s="169"/>
      <c r="D146" s="187" t="s">
        <v>152</v>
      </c>
      <c r="E146" s="187"/>
      <c r="F146" s="187"/>
      <c r="G146" s="187"/>
      <c r="H146" s="190" t="s">
        <v>1154</v>
      </c>
    </row>
    <row r="147" spans="2:8" ht="38.25">
      <c r="B147" s="170" t="s">
        <v>2323</v>
      </c>
      <c r="C147" s="170" t="s">
        <v>265</v>
      </c>
      <c r="D147" s="3" t="s">
        <v>266</v>
      </c>
      <c r="E147" s="4" t="s">
        <v>112</v>
      </c>
      <c r="F147" s="5" t="s">
        <v>285</v>
      </c>
      <c r="G147" s="5">
        <v>15.1</v>
      </c>
      <c r="H147" s="8">
        <f t="shared" ref="H147:H148" si="16">TRUNC(F147*G147,(2))</f>
        <v>24898.39</v>
      </c>
    </row>
    <row r="148" spans="2:8" ht="38.25">
      <c r="B148" s="170" t="s">
        <v>2324</v>
      </c>
      <c r="C148" s="170" t="s">
        <v>268</v>
      </c>
      <c r="D148" s="3" t="s">
        <v>269</v>
      </c>
      <c r="E148" s="4" t="s">
        <v>112</v>
      </c>
      <c r="F148" s="5" t="s">
        <v>286</v>
      </c>
      <c r="G148" s="5">
        <v>13.55</v>
      </c>
      <c r="H148" s="8">
        <f t="shared" si="16"/>
        <v>8883.3799999999992</v>
      </c>
    </row>
    <row r="149" spans="2:8" s="134" customFormat="1" ht="15" customHeight="1">
      <c r="B149" s="169" t="s">
        <v>287</v>
      </c>
      <c r="C149" s="169"/>
      <c r="D149" s="187" t="s">
        <v>172</v>
      </c>
      <c r="E149" s="187"/>
      <c r="F149" s="187"/>
      <c r="G149" s="187"/>
      <c r="H149" s="190" t="s">
        <v>1154</v>
      </c>
    </row>
    <row r="150" spans="2:8" ht="38.25">
      <c r="B150" s="170" t="s">
        <v>2325</v>
      </c>
      <c r="C150" s="170" t="s">
        <v>1962</v>
      </c>
      <c r="D150" s="3" t="s">
        <v>288</v>
      </c>
      <c r="E150" s="4" t="s">
        <v>75</v>
      </c>
      <c r="F150" s="5" t="s">
        <v>289</v>
      </c>
      <c r="G150" s="5">
        <f>CPU!H166</f>
        <v>538.98209600000007</v>
      </c>
      <c r="H150" s="8">
        <f>TRUNC(F150*G150,(2))</f>
        <v>11857.6</v>
      </c>
    </row>
    <row r="151" spans="2:8" s="134" customFormat="1" ht="15" customHeight="1">
      <c r="B151" s="169" t="s">
        <v>290</v>
      </c>
      <c r="C151" s="169"/>
      <c r="D151" s="187" t="s">
        <v>291</v>
      </c>
      <c r="E151" s="187"/>
      <c r="F151" s="187"/>
      <c r="G151" s="187"/>
      <c r="H151" s="190" t="s">
        <v>1154</v>
      </c>
    </row>
    <row r="152" spans="2:8" s="134" customFormat="1" ht="15" customHeight="1">
      <c r="B152" s="169" t="s">
        <v>292</v>
      </c>
      <c r="C152" s="169"/>
      <c r="D152" s="187" t="s">
        <v>187</v>
      </c>
      <c r="E152" s="187"/>
      <c r="F152" s="187"/>
      <c r="G152" s="187"/>
      <c r="H152" s="190" t="s">
        <v>1154</v>
      </c>
    </row>
    <row r="153" spans="2:8" ht="39.75" customHeight="1">
      <c r="B153" s="170" t="s">
        <v>2326</v>
      </c>
      <c r="C153" s="170" t="s">
        <v>2208</v>
      </c>
      <c r="D153" s="3" t="s">
        <v>293</v>
      </c>
      <c r="E153" s="4" t="s">
        <v>24</v>
      </c>
      <c r="F153" s="5" t="s">
        <v>294</v>
      </c>
      <c r="G153" s="5">
        <v>278.27999999999997</v>
      </c>
      <c r="H153" s="8">
        <f>TRUNC(F153*G153,(2))</f>
        <v>34857.35</v>
      </c>
    </row>
    <row r="154" spans="2:8" s="134" customFormat="1" ht="15" customHeight="1">
      <c r="B154" s="169" t="s">
        <v>295</v>
      </c>
      <c r="C154" s="169"/>
      <c r="D154" s="187" t="s">
        <v>152</v>
      </c>
      <c r="E154" s="187"/>
      <c r="F154" s="187"/>
      <c r="G154" s="187"/>
      <c r="H154" s="190" t="s">
        <v>1154</v>
      </c>
    </row>
    <row r="155" spans="2:8" ht="51">
      <c r="B155" s="170" t="s">
        <v>2327</v>
      </c>
      <c r="C155" s="170" t="s">
        <v>296</v>
      </c>
      <c r="D155" s="3" t="s">
        <v>297</v>
      </c>
      <c r="E155" s="4" t="s">
        <v>112</v>
      </c>
      <c r="F155" s="5" t="s">
        <v>298</v>
      </c>
      <c r="G155" s="5">
        <v>21.33</v>
      </c>
      <c r="H155" s="8">
        <f t="shared" ref="H155:H157" si="17">TRUNC(F155*G155,(2))</f>
        <v>2698.24</v>
      </c>
    </row>
    <row r="156" spans="2:8" ht="51">
      <c r="B156" s="170" t="s">
        <v>2328</v>
      </c>
      <c r="C156" s="170" t="s">
        <v>299</v>
      </c>
      <c r="D156" s="3" t="s">
        <v>300</v>
      </c>
      <c r="E156" s="4" t="s">
        <v>112</v>
      </c>
      <c r="F156" s="5" t="s">
        <v>301</v>
      </c>
      <c r="G156" s="5">
        <v>17.8</v>
      </c>
      <c r="H156" s="8">
        <f t="shared" si="17"/>
        <v>5658.62</v>
      </c>
    </row>
    <row r="157" spans="2:8" ht="51">
      <c r="B157" s="170" t="s">
        <v>2329</v>
      </c>
      <c r="C157" s="170" t="s">
        <v>302</v>
      </c>
      <c r="D157" s="3" t="s">
        <v>303</v>
      </c>
      <c r="E157" s="4" t="s">
        <v>112</v>
      </c>
      <c r="F157" s="5" t="s">
        <v>304</v>
      </c>
      <c r="G157" s="5">
        <v>14.5</v>
      </c>
      <c r="H157" s="8">
        <f t="shared" si="17"/>
        <v>2615.8000000000002</v>
      </c>
    </row>
    <row r="158" spans="2:8" s="134" customFormat="1" ht="15" customHeight="1">
      <c r="B158" s="169" t="s">
        <v>305</v>
      </c>
      <c r="C158" s="169"/>
      <c r="D158" s="187" t="s">
        <v>172</v>
      </c>
      <c r="E158" s="187"/>
      <c r="F158" s="187"/>
      <c r="G158" s="187"/>
      <c r="H158" s="190" t="s">
        <v>1154</v>
      </c>
    </row>
    <row r="159" spans="2:8" ht="54" customHeight="1">
      <c r="B159" s="170" t="s">
        <v>2330</v>
      </c>
      <c r="C159" s="170" t="s">
        <v>1957</v>
      </c>
      <c r="D159" s="3" t="s">
        <v>235</v>
      </c>
      <c r="E159" s="4" t="s">
        <v>75</v>
      </c>
      <c r="F159" s="5" t="s">
        <v>306</v>
      </c>
      <c r="G159" s="5">
        <f>CPU!H141</f>
        <v>579.97438999999997</v>
      </c>
      <c r="H159" s="8">
        <f>TRUNC(F159*G159,(2))</f>
        <v>13049.42</v>
      </c>
    </row>
    <row r="160" spans="2:8" s="134" customFormat="1" ht="15" customHeight="1">
      <c r="B160" s="169" t="s">
        <v>307</v>
      </c>
      <c r="C160" s="169"/>
      <c r="D160" s="187" t="s">
        <v>308</v>
      </c>
      <c r="E160" s="187"/>
      <c r="F160" s="187"/>
      <c r="G160" s="187"/>
      <c r="H160" s="190" t="s">
        <v>1154</v>
      </c>
    </row>
    <row r="161" spans="2:8" ht="25.5">
      <c r="B161" s="170" t="s">
        <v>2331</v>
      </c>
      <c r="C161" s="170" t="s">
        <v>309</v>
      </c>
      <c r="D161" s="3" t="s">
        <v>310</v>
      </c>
      <c r="E161" s="4" t="s">
        <v>37</v>
      </c>
      <c r="F161" s="5" t="s">
        <v>311</v>
      </c>
      <c r="G161" s="5">
        <v>59.75</v>
      </c>
      <c r="H161" s="8">
        <f t="shared" ref="H161:H164" si="18">TRUNC(F161*G161,(2))</f>
        <v>1434</v>
      </c>
    </row>
    <row r="162" spans="2:8" ht="27" customHeight="1">
      <c r="B162" s="170" t="s">
        <v>2332</v>
      </c>
      <c r="C162" s="170" t="s">
        <v>312</v>
      </c>
      <c r="D162" s="3" t="s">
        <v>313</v>
      </c>
      <c r="E162" s="4" t="s">
        <v>37</v>
      </c>
      <c r="F162" s="5" t="s">
        <v>314</v>
      </c>
      <c r="G162" s="5">
        <v>95.71</v>
      </c>
      <c r="H162" s="8">
        <f t="shared" si="18"/>
        <v>4594.08</v>
      </c>
    </row>
    <row r="163" spans="2:8" ht="25.5">
      <c r="B163" s="170" t="s">
        <v>2333</v>
      </c>
      <c r="C163" s="170" t="s">
        <v>315</v>
      </c>
      <c r="D163" s="3" t="s">
        <v>316</v>
      </c>
      <c r="E163" s="4" t="s">
        <v>37</v>
      </c>
      <c r="F163" s="5" t="s">
        <v>317</v>
      </c>
      <c r="G163" s="5">
        <v>122.26</v>
      </c>
      <c r="H163" s="8">
        <f t="shared" si="18"/>
        <v>29464.66</v>
      </c>
    </row>
    <row r="164" spans="2:8" ht="38.25">
      <c r="B164" s="170" t="s">
        <v>2334</v>
      </c>
      <c r="C164" s="177" t="s">
        <v>1233</v>
      </c>
      <c r="D164" s="85" t="s">
        <v>1802</v>
      </c>
      <c r="E164" s="96" t="s">
        <v>24</v>
      </c>
      <c r="F164" s="5">
        <v>2797.28</v>
      </c>
      <c r="G164" s="5">
        <v>36.409999999999997</v>
      </c>
      <c r="H164" s="8">
        <f t="shared" si="18"/>
        <v>101848.96000000001</v>
      </c>
    </row>
    <row r="165" spans="2:8" s="134" customFormat="1" ht="15" customHeight="1">
      <c r="B165" s="169" t="s">
        <v>318</v>
      </c>
      <c r="C165" s="169"/>
      <c r="D165" s="187" t="s">
        <v>319</v>
      </c>
      <c r="E165" s="187"/>
      <c r="F165" s="187"/>
      <c r="G165" s="187"/>
      <c r="H165" s="190" t="s">
        <v>1154</v>
      </c>
    </row>
    <row r="166" spans="2:8" ht="25.5" customHeight="1">
      <c r="B166" s="170" t="s">
        <v>2335</v>
      </c>
      <c r="C166" s="170" t="s">
        <v>2173</v>
      </c>
      <c r="D166" s="136" t="s">
        <v>320</v>
      </c>
      <c r="E166" s="4" t="s">
        <v>24</v>
      </c>
      <c r="F166" s="5" t="s">
        <v>321</v>
      </c>
      <c r="G166" s="5">
        <f>CPU!H174</f>
        <v>20.675871000000001</v>
      </c>
      <c r="H166" s="8">
        <f t="shared" ref="H166:H167" si="19">TRUNC(F166*G166,(2))</f>
        <v>1693.35</v>
      </c>
    </row>
    <row r="167" spans="2:8" ht="25.5">
      <c r="B167" s="170" t="s">
        <v>2336</v>
      </c>
      <c r="C167" s="170" t="s">
        <v>2174</v>
      </c>
      <c r="D167" s="3" t="s">
        <v>322</v>
      </c>
      <c r="E167" s="4" t="s">
        <v>15</v>
      </c>
      <c r="F167" s="5" t="s">
        <v>323</v>
      </c>
      <c r="G167" s="5">
        <f>CPU!H180</f>
        <v>162.69030000000001</v>
      </c>
      <c r="H167" s="8">
        <f t="shared" si="19"/>
        <v>19685.52</v>
      </c>
    </row>
    <row r="168" spans="2:8" s="134" customFormat="1" ht="15" customHeight="1">
      <c r="B168" s="170"/>
      <c r="C168" s="170"/>
      <c r="D168" s="193" t="s">
        <v>1165</v>
      </c>
      <c r="E168" s="194"/>
      <c r="F168" s="195"/>
      <c r="G168" s="195"/>
      <c r="H168" s="196">
        <f>SUM(H97:H167)</f>
        <v>3441182.39</v>
      </c>
    </row>
    <row r="169" spans="2:8" s="134" customFormat="1" ht="15" customHeight="1">
      <c r="B169" s="169" t="s">
        <v>324</v>
      </c>
      <c r="C169" s="169"/>
      <c r="D169" s="187" t="s">
        <v>325</v>
      </c>
      <c r="E169" s="187"/>
      <c r="F169" s="187"/>
      <c r="G169" s="187"/>
      <c r="H169" s="190" t="s">
        <v>1154</v>
      </c>
    </row>
    <row r="170" spans="2:8" s="134" customFormat="1" ht="15" customHeight="1">
      <c r="B170" s="169" t="s">
        <v>326</v>
      </c>
      <c r="C170" s="169"/>
      <c r="D170" s="187" t="s">
        <v>327</v>
      </c>
      <c r="E170" s="187"/>
      <c r="F170" s="187"/>
      <c r="G170" s="187"/>
      <c r="H170" s="190" t="s">
        <v>1154</v>
      </c>
    </row>
    <row r="171" spans="2:8" ht="25.5" customHeight="1">
      <c r="B171" s="170" t="s">
        <v>2337</v>
      </c>
      <c r="C171" s="170" t="s">
        <v>1965</v>
      </c>
      <c r="D171" s="136" t="s">
        <v>1162</v>
      </c>
      <c r="E171" s="4" t="s">
        <v>112</v>
      </c>
      <c r="F171" s="5">
        <v>329508.25</v>
      </c>
      <c r="G171" s="5">
        <f>CPU!H187</f>
        <v>15.553920000000002</v>
      </c>
      <c r="H171" s="8">
        <f t="shared" ref="H171:H172" si="20">TRUNC(F171*G171,(2))</f>
        <v>5125144.95</v>
      </c>
    </row>
    <row r="172" spans="2:8" ht="27.75" customHeight="1">
      <c r="B172" s="170" t="s">
        <v>2338</v>
      </c>
      <c r="C172" s="170" t="s">
        <v>1967</v>
      </c>
      <c r="D172" s="3" t="s">
        <v>1225</v>
      </c>
      <c r="E172" s="4" t="s">
        <v>24</v>
      </c>
      <c r="F172" s="5">
        <v>6974</v>
      </c>
      <c r="G172" s="5">
        <f>CPU!H195</f>
        <v>6.9200100000000004</v>
      </c>
      <c r="H172" s="8">
        <f t="shared" si="20"/>
        <v>48260.14</v>
      </c>
    </row>
    <row r="173" spans="2:8" ht="17.25" customHeight="1">
      <c r="B173" s="170"/>
      <c r="C173" s="170"/>
      <c r="D173" s="193" t="s">
        <v>1166</v>
      </c>
      <c r="E173" s="4"/>
      <c r="F173" s="5"/>
      <c r="G173" s="5"/>
      <c r="H173" s="196">
        <f>SUM(H171:H172)</f>
        <v>5173405.09</v>
      </c>
    </row>
    <row r="174" spans="2:8" s="134" customFormat="1" ht="20.100000000000001" customHeight="1">
      <c r="B174" s="172"/>
      <c r="C174" s="178"/>
      <c r="D174" s="179" t="s">
        <v>2789</v>
      </c>
      <c r="E174" s="180"/>
      <c r="F174" s="181"/>
      <c r="G174" s="181"/>
      <c r="H174" s="182">
        <f>H74+H92+H168+H173</f>
        <v>10690773.75</v>
      </c>
    </row>
    <row r="175" spans="2:8" s="134" customFormat="1" ht="20.100000000000001" customHeight="1">
      <c r="B175" s="167" t="s">
        <v>328</v>
      </c>
      <c r="C175" s="167"/>
      <c r="D175" s="183" t="s">
        <v>329</v>
      </c>
      <c r="E175" s="183"/>
      <c r="F175" s="183"/>
      <c r="G175" s="183"/>
      <c r="H175" s="191" t="s">
        <v>1154</v>
      </c>
    </row>
    <row r="176" spans="2:8" s="134" customFormat="1" ht="15" customHeight="1">
      <c r="B176" s="168" t="s">
        <v>330</v>
      </c>
      <c r="C176" s="168"/>
      <c r="D176" s="185" t="s">
        <v>331</v>
      </c>
      <c r="E176" s="185"/>
      <c r="F176" s="185"/>
      <c r="G176" s="185"/>
      <c r="H176" s="192" t="s">
        <v>1154</v>
      </c>
    </row>
    <row r="177" spans="2:8" s="134" customFormat="1" ht="15" customHeight="1">
      <c r="B177" s="163" t="s">
        <v>332</v>
      </c>
      <c r="C177" s="163"/>
      <c r="D177" s="164" t="s">
        <v>333</v>
      </c>
      <c r="E177" s="164"/>
      <c r="F177" s="164"/>
      <c r="G177" s="164"/>
      <c r="H177" s="198" t="s">
        <v>1154</v>
      </c>
    </row>
    <row r="178" spans="2:8" s="134" customFormat="1" ht="15" customHeight="1">
      <c r="B178" s="169" t="s">
        <v>334</v>
      </c>
      <c r="C178" s="169"/>
      <c r="D178" s="187" t="s">
        <v>2720</v>
      </c>
      <c r="E178" s="187"/>
      <c r="F178" s="187"/>
      <c r="G178" s="187"/>
      <c r="H178" s="190" t="s">
        <v>1154</v>
      </c>
    </row>
    <row r="179" spans="2:8" ht="63.75">
      <c r="B179" s="170" t="s">
        <v>2339</v>
      </c>
      <c r="C179" s="170" t="s">
        <v>2825</v>
      </c>
      <c r="D179" s="3" t="s">
        <v>335</v>
      </c>
      <c r="E179" s="4" t="s">
        <v>24</v>
      </c>
      <c r="F179" s="5">
        <v>2575.4499999999998</v>
      </c>
      <c r="G179" s="5">
        <v>57.86</v>
      </c>
      <c r="H179" s="8">
        <f t="shared" ref="H179:H182" si="21">TRUNC(F179*G179,(2))</f>
        <v>149015.53</v>
      </c>
    </row>
    <row r="180" spans="2:8" ht="67.5" customHeight="1">
      <c r="B180" s="170" t="s">
        <v>2340</v>
      </c>
      <c r="C180" s="170" t="s">
        <v>2826</v>
      </c>
      <c r="D180" s="3" t="s">
        <v>336</v>
      </c>
      <c r="E180" s="4" t="s">
        <v>24</v>
      </c>
      <c r="F180" s="5" t="s">
        <v>337</v>
      </c>
      <c r="G180" s="5">
        <v>94.79</v>
      </c>
      <c r="H180" s="8">
        <f t="shared" si="21"/>
        <v>23413.13</v>
      </c>
    </row>
    <row r="181" spans="2:8" ht="25.5">
      <c r="B181" s="170" t="s">
        <v>2341</v>
      </c>
      <c r="C181" s="170" t="s">
        <v>338</v>
      </c>
      <c r="D181" s="3" t="s">
        <v>339</v>
      </c>
      <c r="E181" s="4" t="s">
        <v>15</v>
      </c>
      <c r="F181" s="5" t="s">
        <v>340</v>
      </c>
      <c r="G181" s="5">
        <v>42.46</v>
      </c>
      <c r="H181" s="8">
        <f t="shared" si="21"/>
        <v>1061.5</v>
      </c>
    </row>
    <row r="182" spans="2:8" ht="25.5">
      <c r="B182" s="170" t="s">
        <v>2342</v>
      </c>
      <c r="C182" s="170" t="s">
        <v>341</v>
      </c>
      <c r="D182" s="3" t="s">
        <v>342</v>
      </c>
      <c r="E182" s="4" t="s">
        <v>15</v>
      </c>
      <c r="F182" s="5" t="s">
        <v>343</v>
      </c>
      <c r="G182" s="5">
        <v>26.87</v>
      </c>
      <c r="H182" s="8">
        <f t="shared" si="21"/>
        <v>33754.089999999997</v>
      </c>
    </row>
    <row r="183" spans="2:8" s="134" customFormat="1" ht="15" customHeight="1">
      <c r="B183" s="169" t="s">
        <v>344</v>
      </c>
      <c r="C183" s="169"/>
      <c r="D183" s="187" t="s">
        <v>2721</v>
      </c>
      <c r="E183" s="187"/>
      <c r="F183" s="187"/>
      <c r="G183" s="187"/>
      <c r="H183" s="190" t="s">
        <v>1154</v>
      </c>
    </row>
    <row r="184" spans="2:8" ht="39.75" customHeight="1">
      <c r="B184" s="170" t="s">
        <v>2343</v>
      </c>
      <c r="C184" s="170" t="s">
        <v>1968</v>
      </c>
      <c r="D184" s="3" t="s">
        <v>345</v>
      </c>
      <c r="E184" s="4" t="s">
        <v>24</v>
      </c>
      <c r="F184" s="5">
        <v>364.79</v>
      </c>
      <c r="G184" s="5">
        <f>CPU!H202</f>
        <v>262.21133800000001</v>
      </c>
      <c r="H184" s="8">
        <f>TRUNC(F184*G184,(2))</f>
        <v>95652.07</v>
      </c>
    </row>
    <row r="185" spans="2:8" s="134" customFormat="1" ht="15" customHeight="1">
      <c r="B185" s="169" t="s">
        <v>346</v>
      </c>
      <c r="C185" s="169"/>
      <c r="D185" s="187" t="s">
        <v>2722</v>
      </c>
      <c r="E185" s="187"/>
      <c r="F185" s="187"/>
      <c r="G185" s="187"/>
      <c r="H185" s="190" t="s">
        <v>1154</v>
      </c>
    </row>
    <row r="186" spans="2:8" ht="38.25">
      <c r="B186" s="170" t="s">
        <v>2344</v>
      </c>
      <c r="C186" s="170" t="s">
        <v>2175</v>
      </c>
      <c r="D186" s="3" t="s">
        <v>347</v>
      </c>
      <c r="E186" s="4" t="s">
        <v>24</v>
      </c>
      <c r="F186" s="5">
        <v>251.29</v>
      </c>
      <c r="G186" s="5">
        <f>CPU!H211</f>
        <v>412.83913999999999</v>
      </c>
      <c r="H186" s="8">
        <f t="shared" ref="H186:H187" si="22">TRUNC(F186*G186,(2))</f>
        <v>103742.34</v>
      </c>
    </row>
    <row r="187" spans="2:8" ht="38.25">
      <c r="B187" s="170" t="s">
        <v>2345</v>
      </c>
      <c r="C187" s="170" t="s">
        <v>2176</v>
      </c>
      <c r="D187" s="3" t="s">
        <v>348</v>
      </c>
      <c r="E187" s="4" t="s">
        <v>24</v>
      </c>
      <c r="F187" s="5">
        <v>616.95000000000005</v>
      </c>
      <c r="G187" s="5">
        <f>CPU!H220</f>
        <v>503.63075999999995</v>
      </c>
      <c r="H187" s="8">
        <f t="shared" si="22"/>
        <v>310714.99</v>
      </c>
    </row>
    <row r="188" spans="2:8" s="134" customFormat="1" ht="15" customHeight="1">
      <c r="B188" s="169" t="s">
        <v>349</v>
      </c>
      <c r="C188" s="169"/>
      <c r="D188" s="187" t="s">
        <v>2723</v>
      </c>
      <c r="E188" s="187"/>
      <c r="F188" s="187"/>
      <c r="G188" s="187"/>
      <c r="H188" s="190" t="s">
        <v>1154</v>
      </c>
    </row>
    <row r="189" spans="2:8" ht="42" customHeight="1">
      <c r="B189" s="170" t="s">
        <v>2346</v>
      </c>
      <c r="C189" s="170" t="s">
        <v>1972</v>
      </c>
      <c r="D189" s="3" t="s">
        <v>1804</v>
      </c>
      <c r="E189" s="4" t="s">
        <v>24</v>
      </c>
      <c r="F189" s="5" t="s">
        <v>350</v>
      </c>
      <c r="G189" s="5">
        <f>CPU!H228</f>
        <v>641.41390200000001</v>
      </c>
      <c r="H189" s="8">
        <f>TRUNC(F189*G189,(2))</f>
        <v>91401.48</v>
      </c>
    </row>
    <row r="190" spans="2:8" ht="15" customHeight="1">
      <c r="B190" s="174"/>
      <c r="C190" s="7"/>
      <c r="D190" s="193" t="s">
        <v>1167</v>
      </c>
      <c r="E190" s="194"/>
      <c r="F190" s="195"/>
      <c r="G190" s="195"/>
      <c r="H190" s="196">
        <f>SUM(H179:H189)</f>
        <v>808755.13</v>
      </c>
    </row>
    <row r="191" spans="2:8" s="134" customFormat="1" ht="15" customHeight="1">
      <c r="B191" s="169" t="s">
        <v>351</v>
      </c>
      <c r="C191" s="169"/>
      <c r="D191" s="187" t="s">
        <v>352</v>
      </c>
      <c r="E191" s="187"/>
      <c r="F191" s="187"/>
      <c r="G191" s="187"/>
      <c r="H191" s="190" t="s">
        <v>1154</v>
      </c>
    </row>
    <row r="192" spans="2:8" s="134" customFormat="1" ht="15" customHeight="1">
      <c r="B192" s="169" t="s">
        <v>353</v>
      </c>
      <c r="C192" s="169"/>
      <c r="D192" s="187" t="s">
        <v>354</v>
      </c>
      <c r="E192" s="187"/>
      <c r="F192" s="187"/>
      <c r="G192" s="187"/>
      <c r="H192" s="190" t="s">
        <v>1154</v>
      </c>
    </row>
    <row r="193" spans="2:8" ht="25.5">
      <c r="B193" s="170" t="s">
        <v>2347</v>
      </c>
      <c r="C193" s="170" t="s">
        <v>1973</v>
      </c>
      <c r="D193" s="3" t="s">
        <v>355</v>
      </c>
      <c r="E193" s="4" t="s">
        <v>24</v>
      </c>
      <c r="F193" s="5">
        <v>201.43</v>
      </c>
      <c r="G193" s="5">
        <f>CPU!H232</f>
        <v>441.70716512999996</v>
      </c>
      <c r="H193" s="8">
        <f t="shared" ref="H193:H196" si="23">TRUNC(F193*G193,(2))</f>
        <v>88973.07</v>
      </c>
    </row>
    <row r="194" spans="2:8" ht="29.25" customHeight="1">
      <c r="B194" s="170" t="s">
        <v>2348</v>
      </c>
      <c r="C194" s="170" t="s">
        <v>1975</v>
      </c>
      <c r="D194" s="136" t="s">
        <v>356</v>
      </c>
      <c r="E194" s="4" t="s">
        <v>24</v>
      </c>
      <c r="F194" s="5">
        <v>59.5</v>
      </c>
      <c r="G194" s="5">
        <f>CPU!H236</f>
        <v>515.82880559</v>
      </c>
      <c r="H194" s="8">
        <f t="shared" si="23"/>
        <v>30691.81</v>
      </c>
    </row>
    <row r="195" spans="2:8" ht="25.5" customHeight="1">
      <c r="B195" s="170" t="s">
        <v>2349</v>
      </c>
      <c r="C195" s="170" t="s">
        <v>1977</v>
      </c>
      <c r="D195" s="136" t="s">
        <v>1805</v>
      </c>
      <c r="E195" s="4" t="s">
        <v>24</v>
      </c>
      <c r="F195" s="5">
        <v>5.73</v>
      </c>
      <c r="G195" s="5">
        <f>CPU!H244</f>
        <v>1543.3194000000003</v>
      </c>
      <c r="H195" s="8">
        <f t="shared" si="23"/>
        <v>8843.2199999999993</v>
      </c>
    </row>
    <row r="196" spans="2:8" ht="25.5" customHeight="1">
      <c r="B196" s="170" t="s">
        <v>2350</v>
      </c>
      <c r="C196" s="170" t="s">
        <v>1978</v>
      </c>
      <c r="D196" s="136" t="s">
        <v>357</v>
      </c>
      <c r="E196" s="4" t="s">
        <v>37</v>
      </c>
      <c r="F196" s="5" t="s">
        <v>358</v>
      </c>
      <c r="G196" s="5">
        <f>CPU!H254</f>
        <v>147.19342</v>
      </c>
      <c r="H196" s="8">
        <f t="shared" si="23"/>
        <v>441.58</v>
      </c>
    </row>
    <row r="197" spans="2:8" s="134" customFormat="1" ht="15" customHeight="1">
      <c r="B197" s="169" t="s">
        <v>359</v>
      </c>
      <c r="C197" s="169"/>
      <c r="D197" s="187" t="s">
        <v>360</v>
      </c>
      <c r="E197" s="187"/>
      <c r="F197" s="187"/>
      <c r="G197" s="187"/>
      <c r="H197" s="190" t="s">
        <v>1154</v>
      </c>
    </row>
    <row r="198" spans="2:8" ht="63" customHeight="1">
      <c r="B198" s="170" t="s">
        <v>2351</v>
      </c>
      <c r="C198" s="170" t="s">
        <v>1980</v>
      </c>
      <c r="D198" s="85" t="s">
        <v>1810</v>
      </c>
      <c r="E198" s="4" t="s">
        <v>24</v>
      </c>
      <c r="F198" s="5">
        <v>205.89</v>
      </c>
      <c r="G198" s="5">
        <f>CPU!H274</f>
        <v>539.38373219999994</v>
      </c>
      <c r="H198" s="8">
        <f>TRUNC(F198*G198,(2))</f>
        <v>111053.71</v>
      </c>
    </row>
    <row r="199" spans="2:8" s="134" customFormat="1" ht="15" customHeight="1">
      <c r="B199" s="169" t="s">
        <v>361</v>
      </c>
      <c r="C199" s="169"/>
      <c r="D199" s="187" t="s">
        <v>362</v>
      </c>
      <c r="E199" s="187"/>
      <c r="F199" s="187"/>
      <c r="G199" s="187"/>
      <c r="H199" s="190" t="s">
        <v>1154</v>
      </c>
    </row>
    <row r="200" spans="2:8" ht="25.5">
      <c r="B200" s="170" t="s">
        <v>2352</v>
      </c>
      <c r="C200" s="170" t="s">
        <v>363</v>
      </c>
      <c r="D200" s="3" t="s">
        <v>364</v>
      </c>
      <c r="E200" s="4" t="s">
        <v>37</v>
      </c>
      <c r="F200" s="5" t="s">
        <v>38</v>
      </c>
      <c r="G200" s="5">
        <v>1355.23</v>
      </c>
      <c r="H200" s="8">
        <f>TRUNC(F200*G200,(2))</f>
        <v>1355.23</v>
      </c>
    </row>
    <row r="201" spans="2:8" s="134" customFormat="1" ht="15" customHeight="1">
      <c r="B201" s="169" t="s">
        <v>365</v>
      </c>
      <c r="C201" s="169"/>
      <c r="D201" s="187" t="s">
        <v>366</v>
      </c>
      <c r="E201" s="187"/>
      <c r="F201" s="187"/>
      <c r="G201" s="187"/>
      <c r="H201" s="190" t="s">
        <v>1154</v>
      </c>
    </row>
    <row r="202" spans="2:8" ht="25.5" customHeight="1">
      <c r="B202" s="170" t="s">
        <v>2353</v>
      </c>
      <c r="C202" s="170" t="s">
        <v>1982</v>
      </c>
      <c r="D202" s="3" t="s">
        <v>1820</v>
      </c>
      <c r="E202" s="4" t="s">
        <v>37</v>
      </c>
      <c r="F202" s="5" t="s">
        <v>25</v>
      </c>
      <c r="G202" s="5">
        <f>CPU!H294</f>
        <v>5392.0221550600008</v>
      </c>
      <c r="H202" s="8">
        <f t="shared" ref="H202:H218" si="24">TRUNC(F202*G202,(2))</f>
        <v>145584.59</v>
      </c>
    </row>
    <row r="203" spans="2:8" ht="25.5">
      <c r="B203" s="170" t="s">
        <v>2354</v>
      </c>
      <c r="C203" s="170" t="s">
        <v>1983</v>
      </c>
      <c r="D203" s="3" t="s">
        <v>1821</v>
      </c>
      <c r="E203" s="4" t="s">
        <v>37</v>
      </c>
      <c r="F203" s="5" t="s">
        <v>367</v>
      </c>
      <c r="G203" s="5">
        <f>CPU!H315</f>
        <v>3229.5125372999996</v>
      </c>
      <c r="H203" s="8">
        <f t="shared" si="24"/>
        <v>6459.02</v>
      </c>
    </row>
    <row r="204" spans="2:8" ht="25.5">
      <c r="B204" s="170" t="s">
        <v>2355</v>
      </c>
      <c r="C204" s="170" t="s">
        <v>1984</v>
      </c>
      <c r="D204" s="3" t="s">
        <v>1822</v>
      </c>
      <c r="E204" s="4" t="s">
        <v>37</v>
      </c>
      <c r="F204" s="5" t="s">
        <v>38</v>
      </c>
      <c r="G204" s="5">
        <f>CPU!H335</f>
        <v>3214.8619205999998</v>
      </c>
      <c r="H204" s="8">
        <f t="shared" si="24"/>
        <v>3214.86</v>
      </c>
    </row>
    <row r="205" spans="2:8" ht="25.5">
      <c r="B205" s="170" t="s">
        <v>2356</v>
      </c>
      <c r="C205" s="170" t="s">
        <v>1985</v>
      </c>
      <c r="D205" s="3" t="s">
        <v>1823</v>
      </c>
      <c r="E205" s="4" t="s">
        <v>37</v>
      </c>
      <c r="F205" s="5" t="s">
        <v>367</v>
      </c>
      <c r="G205" s="5">
        <f>CPU!H355</f>
        <v>3977.3856715200004</v>
      </c>
      <c r="H205" s="8">
        <f t="shared" si="24"/>
        <v>7954.77</v>
      </c>
    </row>
    <row r="206" spans="2:8" ht="25.5">
      <c r="B206" s="170" t="s">
        <v>1986</v>
      </c>
      <c r="C206" s="170" t="s">
        <v>2177</v>
      </c>
      <c r="D206" s="3" t="s">
        <v>1824</v>
      </c>
      <c r="E206" s="4" t="s">
        <v>37</v>
      </c>
      <c r="F206" s="5" t="s">
        <v>367</v>
      </c>
      <c r="G206" s="5">
        <f>CPU!H375</f>
        <v>3977.3856715200004</v>
      </c>
      <c r="H206" s="8">
        <f t="shared" si="24"/>
        <v>7954.77</v>
      </c>
    </row>
    <row r="207" spans="2:8" ht="25.5">
      <c r="B207" s="170" t="s">
        <v>2357</v>
      </c>
      <c r="C207" s="170" t="s">
        <v>1987</v>
      </c>
      <c r="D207" s="3" t="s">
        <v>1825</v>
      </c>
      <c r="E207" s="4" t="s">
        <v>37</v>
      </c>
      <c r="F207" s="5">
        <v>1</v>
      </c>
      <c r="G207" s="5">
        <f>CPU!H393</f>
        <v>2465.6164744000002</v>
      </c>
      <c r="H207" s="8">
        <f t="shared" si="24"/>
        <v>2465.61</v>
      </c>
    </row>
    <row r="208" spans="2:8" ht="25.5">
      <c r="B208" s="170" t="s">
        <v>2358</v>
      </c>
      <c r="C208" s="170" t="s">
        <v>1988</v>
      </c>
      <c r="D208" s="3" t="s">
        <v>1826</v>
      </c>
      <c r="E208" s="4" t="s">
        <v>37</v>
      </c>
      <c r="F208" s="5" t="s">
        <v>38</v>
      </c>
      <c r="G208" s="5">
        <f>CPU!H413</f>
        <v>2981.3203345000002</v>
      </c>
      <c r="H208" s="8">
        <f t="shared" si="24"/>
        <v>2981.32</v>
      </c>
    </row>
    <row r="209" spans="2:8" ht="25.5">
      <c r="B209" s="170" t="s">
        <v>2359</v>
      </c>
      <c r="C209" s="170" t="s">
        <v>1989</v>
      </c>
      <c r="D209" s="3" t="s">
        <v>1827</v>
      </c>
      <c r="E209" s="4" t="s">
        <v>37</v>
      </c>
      <c r="F209" s="5">
        <v>2</v>
      </c>
      <c r="G209" s="5">
        <f>CPU!H431</f>
        <v>2464.65541605</v>
      </c>
      <c r="H209" s="8">
        <f t="shared" si="24"/>
        <v>4929.3100000000004</v>
      </c>
    </row>
    <row r="210" spans="2:8" ht="25.5">
      <c r="B210" s="170" t="s">
        <v>2360</v>
      </c>
      <c r="C210" s="170" t="s">
        <v>1990</v>
      </c>
      <c r="D210" s="3" t="s">
        <v>368</v>
      </c>
      <c r="E210" s="4" t="s">
        <v>37</v>
      </c>
      <c r="F210" s="5" t="s">
        <v>25</v>
      </c>
      <c r="G210" s="5">
        <f>CPU!H451</f>
        <v>3370.4135479300003</v>
      </c>
      <c r="H210" s="8">
        <f t="shared" si="24"/>
        <v>91001.16</v>
      </c>
    </row>
    <row r="211" spans="2:8" ht="25.5">
      <c r="B211" s="170" t="s">
        <v>2361</v>
      </c>
      <c r="C211" s="170" t="s">
        <v>1991</v>
      </c>
      <c r="D211" s="3" t="s">
        <v>369</v>
      </c>
      <c r="E211" s="4" t="s">
        <v>37</v>
      </c>
      <c r="F211" s="5" t="s">
        <v>358</v>
      </c>
      <c r="G211" s="5">
        <f>CPU!H470</f>
        <v>3116.9042589229439</v>
      </c>
      <c r="H211" s="8">
        <f t="shared" si="24"/>
        <v>9350.7099999999991</v>
      </c>
    </row>
    <row r="212" spans="2:8" ht="25.5">
      <c r="B212" s="170" t="s">
        <v>2362</v>
      </c>
      <c r="C212" s="170" t="s">
        <v>1992</v>
      </c>
      <c r="D212" s="3" t="s">
        <v>370</v>
      </c>
      <c r="E212" s="4" t="s">
        <v>37</v>
      </c>
      <c r="F212" s="5" t="s">
        <v>38</v>
      </c>
      <c r="G212" s="5">
        <f>CPU!H488</f>
        <v>10734.0410642031</v>
      </c>
      <c r="H212" s="8">
        <f t="shared" si="24"/>
        <v>10734.04</v>
      </c>
    </row>
    <row r="213" spans="2:8" ht="25.5">
      <c r="B213" s="170" t="s">
        <v>2363</v>
      </c>
      <c r="C213" s="170" t="s">
        <v>2178</v>
      </c>
      <c r="D213" s="3" t="s">
        <v>371</v>
      </c>
      <c r="E213" s="4" t="s">
        <v>37</v>
      </c>
      <c r="F213" s="5" t="s">
        <v>367</v>
      </c>
      <c r="G213" s="5">
        <f>CPU!H507</f>
        <v>1844.3138275100155</v>
      </c>
      <c r="H213" s="8">
        <f t="shared" si="24"/>
        <v>3688.62</v>
      </c>
    </row>
    <row r="214" spans="2:8" ht="38.25">
      <c r="B214" s="170" t="s">
        <v>2364</v>
      </c>
      <c r="C214" s="170" t="s">
        <v>1994</v>
      </c>
      <c r="D214" s="3" t="s">
        <v>372</v>
      </c>
      <c r="E214" s="4" t="s">
        <v>37</v>
      </c>
      <c r="F214" s="5" t="s">
        <v>38</v>
      </c>
      <c r="G214" s="5">
        <f>CPU!H530</f>
        <v>12197.750167549924</v>
      </c>
      <c r="H214" s="8">
        <f t="shared" si="24"/>
        <v>12197.75</v>
      </c>
    </row>
    <row r="215" spans="2:8" ht="25.5">
      <c r="B215" s="170" t="s">
        <v>2365</v>
      </c>
      <c r="C215" s="170" t="s">
        <v>1995</v>
      </c>
      <c r="D215" s="3" t="s">
        <v>373</v>
      </c>
      <c r="E215" s="4" t="s">
        <v>37</v>
      </c>
      <c r="F215" s="5">
        <v>1</v>
      </c>
      <c r="G215" s="5">
        <f>CPU!H550</f>
        <v>2679.6932854989259</v>
      </c>
      <c r="H215" s="8">
        <f t="shared" si="24"/>
        <v>2679.69</v>
      </c>
    </row>
    <row r="216" spans="2:8" ht="25.5">
      <c r="B216" s="170" t="s">
        <v>2366</v>
      </c>
      <c r="C216" s="170" t="s">
        <v>1996</v>
      </c>
      <c r="D216" s="3" t="s">
        <v>374</v>
      </c>
      <c r="E216" s="4" t="s">
        <v>37</v>
      </c>
      <c r="F216" s="5">
        <v>3</v>
      </c>
      <c r="G216" s="5">
        <f>CPU!H570</f>
        <v>1066.7868475042089</v>
      </c>
      <c r="H216" s="8">
        <f t="shared" si="24"/>
        <v>3200.36</v>
      </c>
    </row>
    <row r="217" spans="2:8" ht="25.5">
      <c r="B217" s="170" t="s">
        <v>2367</v>
      </c>
      <c r="C217" s="170" t="s">
        <v>1997</v>
      </c>
      <c r="D217" s="3" t="s">
        <v>375</v>
      </c>
      <c r="E217" s="4" t="s">
        <v>37</v>
      </c>
      <c r="F217" s="5">
        <v>2</v>
      </c>
      <c r="G217" s="5">
        <f>CPU!H590</f>
        <v>2654.9278184867526</v>
      </c>
      <c r="H217" s="8">
        <f t="shared" si="24"/>
        <v>5309.85</v>
      </c>
    </row>
    <row r="218" spans="2:8" ht="25.5">
      <c r="B218" s="170" t="s">
        <v>2368</v>
      </c>
      <c r="C218" s="170" t="s">
        <v>1998</v>
      </c>
      <c r="D218" s="3" t="s">
        <v>376</v>
      </c>
      <c r="E218" s="4" t="s">
        <v>37</v>
      </c>
      <c r="F218" s="5" t="s">
        <v>38</v>
      </c>
      <c r="G218" s="5">
        <f>CPU!H610</f>
        <v>2279.1257791605722</v>
      </c>
      <c r="H218" s="8">
        <f t="shared" si="24"/>
        <v>2279.12</v>
      </c>
    </row>
    <row r="219" spans="2:8" s="134" customFormat="1" ht="15" customHeight="1">
      <c r="B219" s="169" t="s">
        <v>377</v>
      </c>
      <c r="C219" s="169"/>
      <c r="D219" s="187" t="s">
        <v>378</v>
      </c>
      <c r="E219" s="187"/>
      <c r="F219" s="187"/>
      <c r="G219" s="187"/>
      <c r="H219" s="190" t="s">
        <v>1154</v>
      </c>
    </row>
    <row r="220" spans="2:8" ht="25.5" customHeight="1">
      <c r="B220" s="170" t="s">
        <v>2369</v>
      </c>
      <c r="C220" s="170" t="s">
        <v>1999</v>
      </c>
      <c r="D220" s="136" t="s">
        <v>379</v>
      </c>
      <c r="E220" s="4" t="s">
        <v>24</v>
      </c>
      <c r="F220" s="5">
        <v>34.97</v>
      </c>
      <c r="G220" s="5">
        <f>CPU!H615</f>
        <v>291.31200000000001</v>
      </c>
      <c r="H220" s="8">
        <f t="shared" ref="H220:H225" si="25">TRUNC(F220*G220,(2))</f>
        <v>10187.18</v>
      </c>
    </row>
    <row r="221" spans="2:8" ht="25.5" customHeight="1">
      <c r="B221" s="170" t="s">
        <v>2370</v>
      </c>
      <c r="C221" s="170" t="s">
        <v>2000</v>
      </c>
      <c r="D221" s="136" t="s">
        <v>380</v>
      </c>
      <c r="E221" s="4" t="s">
        <v>24</v>
      </c>
      <c r="F221" s="5" t="s">
        <v>381</v>
      </c>
      <c r="G221" s="5">
        <f>CPU!H624</f>
        <v>265.96449526355212</v>
      </c>
      <c r="H221" s="8">
        <f t="shared" si="25"/>
        <v>41251.089999999997</v>
      </c>
    </row>
    <row r="222" spans="2:8" ht="25.5" customHeight="1">
      <c r="B222" s="170" t="s">
        <v>2371</v>
      </c>
      <c r="C222" s="170" t="s">
        <v>2001</v>
      </c>
      <c r="D222" s="136" t="s">
        <v>382</v>
      </c>
      <c r="E222" s="4" t="s">
        <v>24</v>
      </c>
      <c r="F222" s="5" t="s">
        <v>383</v>
      </c>
      <c r="G222" s="5">
        <f>CPU!H631</f>
        <v>191.94119926026539</v>
      </c>
      <c r="H222" s="8">
        <f t="shared" si="25"/>
        <v>14194.05</v>
      </c>
    </row>
    <row r="223" spans="2:8" ht="25.5">
      <c r="B223" s="170" t="s">
        <v>2372</v>
      </c>
      <c r="C223" s="170" t="s">
        <v>384</v>
      </c>
      <c r="D223" s="3" t="s">
        <v>385</v>
      </c>
      <c r="E223" s="4" t="s">
        <v>15</v>
      </c>
      <c r="F223" s="5">
        <v>473.03</v>
      </c>
      <c r="G223" s="432">
        <f>454.96*1.2173</f>
        <v>553.82280800000001</v>
      </c>
      <c r="H223" s="8">
        <f t="shared" si="25"/>
        <v>261974.8</v>
      </c>
    </row>
    <row r="224" spans="2:8" ht="25.5">
      <c r="B224" s="170" t="s">
        <v>2373</v>
      </c>
      <c r="C224" s="170" t="s">
        <v>2002</v>
      </c>
      <c r="D224" s="3" t="s">
        <v>386</v>
      </c>
      <c r="E224" s="4" t="s">
        <v>15</v>
      </c>
      <c r="F224" s="5">
        <v>7</v>
      </c>
      <c r="G224" s="5">
        <f>CPU!H638</f>
        <v>411.23690017187005</v>
      </c>
      <c r="H224" s="8">
        <f t="shared" si="25"/>
        <v>2878.65</v>
      </c>
    </row>
    <row r="225" spans="2:8" ht="63.75">
      <c r="B225" s="170" t="s">
        <v>2374</v>
      </c>
      <c r="C225" s="170" t="s">
        <v>387</v>
      </c>
      <c r="D225" s="3" t="s">
        <v>388</v>
      </c>
      <c r="E225" s="4" t="s">
        <v>15</v>
      </c>
      <c r="F225" s="5">
        <v>553.83000000000004</v>
      </c>
      <c r="G225" s="5">
        <v>634.02</v>
      </c>
      <c r="H225" s="8">
        <f t="shared" si="25"/>
        <v>351139.29</v>
      </c>
    </row>
    <row r="226" spans="2:8" s="134" customFormat="1" ht="15" customHeight="1">
      <c r="B226" s="169" t="s">
        <v>389</v>
      </c>
      <c r="C226" s="169"/>
      <c r="D226" s="187" t="s">
        <v>390</v>
      </c>
      <c r="E226" s="187"/>
      <c r="F226" s="187"/>
      <c r="G226" s="187"/>
      <c r="H226" s="190" t="s">
        <v>1154</v>
      </c>
    </row>
    <row r="227" spans="2:8" ht="64.5" customHeight="1">
      <c r="B227" s="175" t="s">
        <v>2375</v>
      </c>
      <c r="C227" s="170" t="s">
        <v>2003</v>
      </c>
      <c r="D227" s="7" t="s">
        <v>1828</v>
      </c>
      <c r="E227" s="4" t="s">
        <v>24</v>
      </c>
      <c r="F227" s="5">
        <v>586.95000000000005</v>
      </c>
      <c r="G227" s="5">
        <f>CPU!H650</f>
        <v>371.06460000000004</v>
      </c>
      <c r="H227" s="8">
        <f t="shared" ref="H227:H228" si="26">TRUNC(F227*G227,(2))</f>
        <v>217796.36</v>
      </c>
    </row>
    <row r="228" spans="2:8" ht="63.75">
      <c r="B228" s="175" t="s">
        <v>2376</v>
      </c>
      <c r="C228" s="170" t="s">
        <v>2006</v>
      </c>
      <c r="D228" s="7" t="s">
        <v>1829</v>
      </c>
      <c r="E228" s="4" t="s">
        <v>24</v>
      </c>
      <c r="F228" s="5">
        <v>193.78</v>
      </c>
      <c r="G228" s="5">
        <f>CPU!H664</f>
        <v>336.78306123200002</v>
      </c>
      <c r="H228" s="8">
        <f t="shared" si="26"/>
        <v>65261.82</v>
      </c>
    </row>
    <row r="229" spans="2:8" ht="15" customHeight="1">
      <c r="B229" s="170"/>
      <c r="C229" s="7"/>
      <c r="D229" s="193" t="s">
        <v>1168</v>
      </c>
      <c r="E229" s="194"/>
      <c r="F229" s="195"/>
      <c r="G229" s="195"/>
      <c r="H229" s="196">
        <f>SUM(H193:H228)</f>
        <v>1528027.41</v>
      </c>
    </row>
    <row r="230" spans="2:8" s="134" customFormat="1" ht="15" customHeight="1">
      <c r="B230" s="169" t="s">
        <v>391</v>
      </c>
      <c r="C230" s="169"/>
      <c r="D230" s="187" t="s">
        <v>392</v>
      </c>
      <c r="E230" s="187"/>
      <c r="F230" s="187"/>
      <c r="G230" s="187"/>
      <c r="H230" s="190" t="s">
        <v>1154</v>
      </c>
    </row>
    <row r="231" spans="2:8" s="134" customFormat="1" ht="15" customHeight="1">
      <c r="B231" s="169" t="s">
        <v>393</v>
      </c>
      <c r="C231" s="169"/>
      <c r="D231" s="187" t="s">
        <v>394</v>
      </c>
      <c r="E231" s="187"/>
      <c r="F231" s="187"/>
      <c r="G231" s="187"/>
      <c r="H231" s="190" t="s">
        <v>1154</v>
      </c>
    </row>
    <row r="232" spans="2:8" ht="25.5" customHeight="1">
      <c r="B232" s="175" t="s">
        <v>2377</v>
      </c>
      <c r="C232" s="170" t="s">
        <v>2007</v>
      </c>
      <c r="D232" s="136" t="s">
        <v>396</v>
      </c>
      <c r="E232" s="4" t="s">
        <v>24</v>
      </c>
      <c r="F232" s="5" t="s">
        <v>397</v>
      </c>
      <c r="G232" s="5">
        <f>CPU!H668</f>
        <v>208.31391963200002</v>
      </c>
      <c r="H232" s="8">
        <f t="shared" ref="H232:H234" si="27">TRUNC(F232*G232,(2))</f>
        <v>47553.9</v>
      </c>
    </row>
    <row r="233" spans="2:8" ht="25.5" customHeight="1">
      <c r="B233" s="175" t="s">
        <v>2378</v>
      </c>
      <c r="C233" s="170" t="s">
        <v>2008</v>
      </c>
      <c r="D233" s="136" t="s">
        <v>398</v>
      </c>
      <c r="E233" s="4" t="s">
        <v>24</v>
      </c>
      <c r="F233" s="5" t="s">
        <v>399</v>
      </c>
      <c r="G233" s="5">
        <f>CPU!H672</f>
        <v>235.42309324799999</v>
      </c>
      <c r="H233" s="8">
        <f t="shared" si="27"/>
        <v>75295.360000000001</v>
      </c>
    </row>
    <row r="234" spans="2:8" ht="27" customHeight="1">
      <c r="B234" s="175" t="s">
        <v>2379</v>
      </c>
      <c r="C234" s="170" t="s">
        <v>2179</v>
      </c>
      <c r="D234" s="3" t="s">
        <v>400</v>
      </c>
      <c r="E234" s="4" t="s">
        <v>24</v>
      </c>
      <c r="F234" s="5" t="s">
        <v>402</v>
      </c>
      <c r="G234" s="5">
        <f>CPU!H676</f>
        <v>1782.3097950000001</v>
      </c>
      <c r="H234" s="8">
        <f t="shared" si="27"/>
        <v>86620.25</v>
      </c>
    </row>
    <row r="235" spans="2:8" ht="15" customHeight="1">
      <c r="B235" s="175"/>
      <c r="C235" s="170"/>
      <c r="D235" s="6" t="s">
        <v>1169</v>
      </c>
      <c r="E235" s="4"/>
      <c r="F235" s="5"/>
      <c r="G235" s="5"/>
      <c r="H235" s="8">
        <f>SUM(H232:H234)</f>
        <v>209469.51</v>
      </c>
    </row>
    <row r="236" spans="2:8" s="134" customFormat="1" ht="15" customHeight="1">
      <c r="B236" s="169" t="s">
        <v>403</v>
      </c>
      <c r="C236" s="169"/>
      <c r="D236" s="187" t="s">
        <v>404</v>
      </c>
      <c r="E236" s="187"/>
      <c r="F236" s="187"/>
      <c r="G236" s="187"/>
      <c r="H236" s="190" t="s">
        <v>1154</v>
      </c>
    </row>
    <row r="237" spans="2:8" s="134" customFormat="1" ht="15" customHeight="1">
      <c r="B237" s="169" t="s">
        <v>405</v>
      </c>
      <c r="C237" s="169"/>
      <c r="D237" s="187" t="s">
        <v>406</v>
      </c>
      <c r="E237" s="187"/>
      <c r="F237" s="187"/>
      <c r="G237" s="187"/>
      <c r="H237" s="190" t="s">
        <v>1154</v>
      </c>
    </row>
    <row r="238" spans="2:8" ht="38.25">
      <c r="B238" s="175" t="s">
        <v>2380</v>
      </c>
      <c r="C238" s="170" t="s">
        <v>2180</v>
      </c>
      <c r="D238" s="3" t="s">
        <v>407</v>
      </c>
      <c r="E238" s="4" t="s">
        <v>24</v>
      </c>
      <c r="F238" s="5" t="s">
        <v>408</v>
      </c>
      <c r="G238" s="5">
        <f>CPU!H683</f>
        <v>172.69499999999999</v>
      </c>
      <c r="H238" s="8">
        <f t="shared" ref="H238:H240" si="28">TRUNC(F238*G238,(2))</f>
        <v>105601.26</v>
      </c>
    </row>
    <row r="239" spans="2:8" ht="38.25">
      <c r="B239" s="175" t="s">
        <v>2381</v>
      </c>
      <c r="C239" s="170" t="s">
        <v>2181</v>
      </c>
      <c r="D239" s="3" t="s">
        <v>409</v>
      </c>
      <c r="E239" s="4" t="s">
        <v>24</v>
      </c>
      <c r="F239" s="5" t="s">
        <v>410</v>
      </c>
      <c r="G239" s="5">
        <f>CPU!H690</f>
        <v>216.01499999999999</v>
      </c>
      <c r="H239" s="8">
        <f t="shared" si="28"/>
        <v>190795.24</v>
      </c>
    </row>
    <row r="240" spans="2:8" ht="38.25">
      <c r="B240" s="175" t="s">
        <v>2382</v>
      </c>
      <c r="C240" s="170" t="s">
        <v>2182</v>
      </c>
      <c r="D240" s="3" t="s">
        <v>411</v>
      </c>
      <c r="E240" s="4" t="s">
        <v>24</v>
      </c>
      <c r="F240" s="5" t="s">
        <v>397</v>
      </c>
      <c r="G240" s="5">
        <f>CPU!H697</f>
        <v>271.23499999999996</v>
      </c>
      <c r="H240" s="8">
        <f t="shared" si="28"/>
        <v>61917.52</v>
      </c>
    </row>
    <row r="241" spans="2:8" s="134" customFormat="1" ht="15" customHeight="1">
      <c r="B241" s="169" t="s">
        <v>412</v>
      </c>
      <c r="C241" s="169"/>
      <c r="D241" s="187" t="s">
        <v>413</v>
      </c>
      <c r="E241" s="187"/>
      <c r="F241" s="187"/>
      <c r="G241" s="187"/>
      <c r="H241" s="190" t="s">
        <v>1154</v>
      </c>
    </row>
    <row r="242" spans="2:8" ht="27" customHeight="1">
      <c r="B242" s="175" t="s">
        <v>2383</v>
      </c>
      <c r="C242" s="170" t="s">
        <v>2014</v>
      </c>
      <c r="D242" s="3" t="s">
        <v>414</v>
      </c>
      <c r="E242" s="4" t="s">
        <v>24</v>
      </c>
      <c r="F242" s="5" t="s">
        <v>415</v>
      </c>
      <c r="G242" s="5">
        <f>CPU!H706</f>
        <v>474.60979869270011</v>
      </c>
      <c r="H242" s="8">
        <f>TRUNC(F242*G242,(2))</f>
        <v>24973.96</v>
      </c>
    </row>
    <row r="243" spans="2:8" ht="15" customHeight="1">
      <c r="B243" s="175"/>
      <c r="C243" s="170"/>
      <c r="D243" s="6" t="s">
        <v>1170</v>
      </c>
      <c r="E243" s="4"/>
      <c r="F243" s="5"/>
      <c r="G243" s="5"/>
      <c r="H243" s="8">
        <f>SUM(H238:H242)</f>
        <v>383287.98000000004</v>
      </c>
    </row>
    <row r="244" spans="2:8" s="134" customFormat="1" ht="15" customHeight="1">
      <c r="B244" s="169" t="s">
        <v>416</v>
      </c>
      <c r="C244" s="169"/>
      <c r="D244" s="187" t="s">
        <v>417</v>
      </c>
      <c r="E244" s="187"/>
      <c r="F244" s="187"/>
      <c r="G244" s="187"/>
      <c r="H244" s="190" t="s">
        <v>1154</v>
      </c>
    </row>
    <row r="245" spans="2:8" s="134" customFormat="1" ht="15" customHeight="1">
      <c r="B245" s="169" t="s">
        <v>418</v>
      </c>
      <c r="C245" s="169"/>
      <c r="D245" s="187" t="s">
        <v>419</v>
      </c>
      <c r="E245" s="187"/>
      <c r="F245" s="187"/>
      <c r="G245" s="187"/>
      <c r="H245" s="190" t="s">
        <v>1154</v>
      </c>
    </row>
    <row r="246" spans="2:8" ht="27.75" customHeight="1">
      <c r="B246" s="175" t="s">
        <v>2384</v>
      </c>
      <c r="C246" s="170" t="s">
        <v>1223</v>
      </c>
      <c r="D246" s="85" t="s">
        <v>1224</v>
      </c>
      <c r="E246" s="4" t="s">
        <v>24</v>
      </c>
      <c r="F246" s="5" t="s">
        <v>420</v>
      </c>
      <c r="G246" s="5">
        <v>83.79</v>
      </c>
      <c r="H246" s="8">
        <f>TRUNC(F246*G246,(2))</f>
        <v>68246.95</v>
      </c>
    </row>
    <row r="247" spans="2:8" s="134" customFormat="1" ht="15" customHeight="1">
      <c r="B247" s="169" t="s">
        <v>1833</v>
      </c>
      <c r="C247" s="169"/>
      <c r="D247" s="187" t="s">
        <v>1834</v>
      </c>
      <c r="E247" s="187"/>
      <c r="F247" s="187"/>
      <c r="G247" s="187"/>
      <c r="H247" s="190" t="s">
        <v>1154</v>
      </c>
    </row>
    <row r="248" spans="2:8" ht="25.5" customHeight="1">
      <c r="B248" s="175" t="s">
        <v>2385</v>
      </c>
      <c r="C248" s="170" t="s">
        <v>2015</v>
      </c>
      <c r="D248" s="136" t="s">
        <v>1835</v>
      </c>
      <c r="E248" s="4" t="s">
        <v>24</v>
      </c>
      <c r="F248" s="5" t="s">
        <v>1836</v>
      </c>
      <c r="G248" s="5">
        <f>CPU!H712</f>
        <v>386.22500000000002</v>
      </c>
      <c r="H248" s="8">
        <f>TRUNC(F248*G248,(2))</f>
        <v>103315.18</v>
      </c>
    </row>
    <row r="249" spans="2:8" ht="15" customHeight="1">
      <c r="B249" s="175"/>
      <c r="C249" s="7"/>
      <c r="D249" s="193" t="s">
        <v>1171</v>
      </c>
      <c r="E249" s="194"/>
      <c r="F249" s="195"/>
      <c r="G249" s="195"/>
      <c r="H249" s="196">
        <f>SUM(H246:H248)</f>
        <v>171562.13</v>
      </c>
    </row>
    <row r="250" spans="2:8" s="134" customFormat="1" ht="15" customHeight="1">
      <c r="B250" s="169" t="s">
        <v>421</v>
      </c>
      <c r="C250" s="169"/>
      <c r="D250" s="187" t="s">
        <v>422</v>
      </c>
      <c r="E250" s="187"/>
      <c r="F250" s="187"/>
      <c r="G250" s="187"/>
      <c r="H250" s="190" t="s">
        <v>1154</v>
      </c>
    </row>
    <row r="251" spans="2:8" s="134" customFormat="1" ht="15" customHeight="1">
      <c r="B251" s="169" t="s">
        <v>423</v>
      </c>
      <c r="C251" s="169"/>
      <c r="D251" s="187" t="s">
        <v>424</v>
      </c>
      <c r="E251" s="187"/>
      <c r="F251" s="187"/>
      <c r="G251" s="187"/>
      <c r="H251" s="190" t="s">
        <v>1154</v>
      </c>
    </row>
    <row r="252" spans="2:8" ht="38.25">
      <c r="B252" s="175" t="s">
        <v>2386</v>
      </c>
      <c r="C252" s="177" t="s">
        <v>2016</v>
      </c>
      <c r="D252" s="3" t="s">
        <v>425</v>
      </c>
      <c r="E252" s="4" t="s">
        <v>24</v>
      </c>
      <c r="F252" s="5">
        <v>7370.29</v>
      </c>
      <c r="G252" s="5">
        <f>CPU!H720</f>
        <v>158.9248</v>
      </c>
      <c r="H252" s="8">
        <f t="shared" ref="H252:H254" si="29">TRUNC(F252*G252,(2))</f>
        <v>1171321.8600000001</v>
      </c>
    </row>
    <row r="253" spans="2:8" ht="51">
      <c r="B253" s="175" t="s">
        <v>2387</v>
      </c>
      <c r="C253" s="177" t="s">
        <v>426</v>
      </c>
      <c r="D253" s="3" t="s">
        <v>427</v>
      </c>
      <c r="E253" s="4" t="s">
        <v>24</v>
      </c>
      <c r="F253" s="5">
        <v>7370.29</v>
      </c>
      <c r="G253" s="5">
        <v>41.93</v>
      </c>
      <c r="H253" s="8">
        <f t="shared" si="29"/>
        <v>309036.25</v>
      </c>
    </row>
    <row r="254" spans="2:8" ht="25.5">
      <c r="B254" s="175" t="s">
        <v>2388</v>
      </c>
      <c r="C254" s="199" t="s">
        <v>2209</v>
      </c>
      <c r="D254" s="85" t="s">
        <v>2210</v>
      </c>
      <c r="E254" s="96" t="s">
        <v>24</v>
      </c>
      <c r="F254" s="5">
        <v>420</v>
      </c>
      <c r="G254" s="5">
        <v>82.19</v>
      </c>
      <c r="H254" s="8">
        <f t="shared" si="29"/>
        <v>34519.800000000003</v>
      </c>
    </row>
    <row r="255" spans="2:8" s="134" customFormat="1" ht="15" customHeight="1">
      <c r="B255" s="175"/>
      <c r="C255" s="177"/>
      <c r="D255" s="193" t="s">
        <v>1172</v>
      </c>
      <c r="E255" s="194"/>
      <c r="F255" s="195"/>
      <c r="G255" s="195"/>
      <c r="H255" s="196">
        <f>SUM(H252:H254)</f>
        <v>1514877.9100000001</v>
      </c>
    </row>
    <row r="256" spans="2:8" s="134" customFormat="1" ht="15" customHeight="1">
      <c r="B256" s="169" t="s">
        <v>428</v>
      </c>
      <c r="C256" s="169"/>
      <c r="D256" s="187" t="s">
        <v>429</v>
      </c>
      <c r="E256" s="187"/>
      <c r="F256" s="187"/>
      <c r="G256" s="187"/>
      <c r="H256" s="190" t="s">
        <v>1154</v>
      </c>
    </row>
    <row r="257" spans="2:8" ht="38.25">
      <c r="B257" s="175" t="s">
        <v>2389</v>
      </c>
      <c r="C257" s="177" t="s">
        <v>2017</v>
      </c>
      <c r="D257" s="3" t="s">
        <v>430</v>
      </c>
      <c r="E257" s="4" t="s">
        <v>24</v>
      </c>
      <c r="F257" s="5">
        <v>1968.84</v>
      </c>
      <c r="G257" s="5">
        <f>CPU!H728</f>
        <v>88.797525573251733</v>
      </c>
      <c r="H257" s="8">
        <f t="shared" ref="H257:H262" si="30">TRUNC(F257*G257,(2))</f>
        <v>174828.12</v>
      </c>
    </row>
    <row r="258" spans="2:8" ht="76.5">
      <c r="B258" s="175" t="s">
        <v>2390</v>
      </c>
      <c r="C258" s="177" t="s">
        <v>431</v>
      </c>
      <c r="D258" s="3" t="s">
        <v>432</v>
      </c>
      <c r="E258" s="4" t="s">
        <v>24</v>
      </c>
      <c r="F258" s="5">
        <v>3751.87</v>
      </c>
      <c r="G258" s="5">
        <v>39.51</v>
      </c>
      <c r="H258" s="8">
        <f t="shared" si="30"/>
        <v>148236.38</v>
      </c>
    </row>
    <row r="259" spans="2:8" ht="52.5" customHeight="1">
      <c r="B259" s="175" t="s">
        <v>2391</v>
      </c>
      <c r="C259" s="177" t="s">
        <v>433</v>
      </c>
      <c r="D259" s="3" t="s">
        <v>434</v>
      </c>
      <c r="E259" s="4" t="s">
        <v>24</v>
      </c>
      <c r="F259" s="5" t="s">
        <v>435</v>
      </c>
      <c r="G259" s="432">
        <f>4.98*1.2173</f>
        <v>6.0621540000000005</v>
      </c>
      <c r="H259" s="8">
        <f t="shared" si="30"/>
        <v>9315.1</v>
      </c>
    </row>
    <row r="260" spans="2:8" ht="51">
      <c r="B260" s="175" t="s">
        <v>2392</v>
      </c>
      <c r="C260" s="177" t="s">
        <v>436</v>
      </c>
      <c r="D260" s="3" t="s">
        <v>437</v>
      </c>
      <c r="E260" s="4" t="s">
        <v>24</v>
      </c>
      <c r="F260" s="5">
        <v>4730.96</v>
      </c>
      <c r="G260" s="5">
        <v>4.37</v>
      </c>
      <c r="H260" s="8">
        <f t="shared" si="30"/>
        <v>20674.29</v>
      </c>
    </row>
    <row r="261" spans="2:8" ht="27" customHeight="1">
      <c r="B261" s="175" t="s">
        <v>2393</v>
      </c>
      <c r="C261" s="199" t="s">
        <v>1221</v>
      </c>
      <c r="D261" s="85" t="s">
        <v>1222</v>
      </c>
      <c r="E261" s="4" t="s">
        <v>24</v>
      </c>
      <c r="F261" s="5">
        <v>1053.45</v>
      </c>
      <c r="G261" s="5">
        <v>62.57</v>
      </c>
      <c r="H261" s="8">
        <f t="shared" si="30"/>
        <v>65914.36</v>
      </c>
    </row>
    <row r="262" spans="2:8" ht="63.75">
      <c r="B262" s="175" t="s">
        <v>2394</v>
      </c>
      <c r="C262" s="177" t="s">
        <v>438</v>
      </c>
      <c r="D262" s="3" t="s">
        <v>439</v>
      </c>
      <c r="E262" s="4" t="s">
        <v>24</v>
      </c>
      <c r="F262" s="5">
        <v>2515.69</v>
      </c>
      <c r="G262" s="5">
        <v>41.59</v>
      </c>
      <c r="H262" s="8">
        <f t="shared" si="30"/>
        <v>104627.54</v>
      </c>
    </row>
    <row r="263" spans="2:8" s="134" customFormat="1" ht="15" customHeight="1">
      <c r="B263" s="202"/>
      <c r="C263" s="138"/>
      <c r="D263" s="193" t="s">
        <v>1173</v>
      </c>
      <c r="E263" s="194"/>
      <c r="F263" s="195"/>
      <c r="G263" s="195"/>
      <c r="H263" s="196">
        <f>SUM(H257:H262)</f>
        <v>523595.78999999992</v>
      </c>
    </row>
    <row r="264" spans="2:8" ht="15" customHeight="1">
      <c r="B264" s="169" t="s">
        <v>441</v>
      </c>
      <c r="C264" s="169"/>
      <c r="D264" s="200" t="s">
        <v>442</v>
      </c>
      <c r="E264" s="200"/>
      <c r="F264" s="200"/>
      <c r="G264" s="200"/>
      <c r="H264" s="201" t="s">
        <v>1154</v>
      </c>
    </row>
    <row r="265" spans="2:8" ht="25.5">
      <c r="B265" s="175" t="s">
        <v>2395</v>
      </c>
      <c r="C265" s="170" t="s">
        <v>443</v>
      </c>
      <c r="D265" s="3" t="s">
        <v>444</v>
      </c>
      <c r="E265" s="4" t="s">
        <v>24</v>
      </c>
      <c r="F265" s="5" t="s">
        <v>445</v>
      </c>
      <c r="G265" s="5">
        <v>67.290000000000006</v>
      </c>
      <c r="H265" s="8">
        <f t="shared" ref="H265:H266" si="31">TRUNC(F265*G265,(2))</f>
        <v>180230.88</v>
      </c>
    </row>
    <row r="266" spans="2:8" ht="25.5">
      <c r="B266" s="175" t="s">
        <v>2396</v>
      </c>
      <c r="C266" s="170" t="s">
        <v>446</v>
      </c>
      <c r="D266" s="3" t="s">
        <v>447</v>
      </c>
      <c r="E266" s="4" t="s">
        <v>15</v>
      </c>
      <c r="F266" s="5" t="s">
        <v>448</v>
      </c>
      <c r="G266" s="5">
        <v>11.58</v>
      </c>
      <c r="H266" s="8">
        <f t="shared" si="31"/>
        <v>13957.37</v>
      </c>
    </row>
    <row r="267" spans="2:8" s="134" customFormat="1" ht="15" customHeight="1">
      <c r="B267" s="175"/>
      <c r="C267" s="170"/>
      <c r="D267" s="193" t="s">
        <v>1174</v>
      </c>
      <c r="E267" s="194"/>
      <c r="F267" s="195"/>
      <c r="G267" s="195"/>
      <c r="H267" s="196">
        <f>SUM(H265:H266)</f>
        <v>194188.25</v>
      </c>
    </row>
    <row r="268" spans="2:8" ht="15" customHeight="1">
      <c r="B268" s="169" t="s">
        <v>449</v>
      </c>
      <c r="C268" s="169"/>
      <c r="D268" s="200" t="s">
        <v>450</v>
      </c>
      <c r="E268" s="200"/>
      <c r="F268" s="200"/>
      <c r="G268" s="200"/>
      <c r="H268" s="201" t="s">
        <v>1154</v>
      </c>
    </row>
    <row r="269" spans="2:8" ht="25.5">
      <c r="B269" s="175" t="s">
        <v>2397</v>
      </c>
      <c r="C269" s="170" t="s">
        <v>2018</v>
      </c>
      <c r="D269" s="3" t="s">
        <v>451</v>
      </c>
      <c r="E269" s="4" t="s">
        <v>24</v>
      </c>
      <c r="F269" s="5">
        <v>5164.4799999999996</v>
      </c>
      <c r="G269" s="5">
        <f>CPU!H734</f>
        <v>22.478990600000003</v>
      </c>
      <c r="H269" s="8">
        <f t="shared" ref="H269:H277" si="32">TRUNC(F269*G269,(2))</f>
        <v>116092.29</v>
      </c>
    </row>
    <row r="270" spans="2:8" ht="25.5">
      <c r="B270" s="175" t="s">
        <v>2398</v>
      </c>
      <c r="C270" s="170" t="s">
        <v>2183</v>
      </c>
      <c r="D270" s="3" t="s">
        <v>452</v>
      </c>
      <c r="E270" s="4" t="s">
        <v>24</v>
      </c>
      <c r="F270" s="5" t="s">
        <v>453</v>
      </c>
      <c r="G270" s="5">
        <f>CPU!H741</f>
        <v>42.093240000000002</v>
      </c>
      <c r="H270" s="8">
        <f t="shared" si="32"/>
        <v>17679.16</v>
      </c>
    </row>
    <row r="271" spans="2:8" ht="25.5">
      <c r="B271" s="175" t="s">
        <v>2399</v>
      </c>
      <c r="C271" s="170" t="s">
        <v>2211</v>
      </c>
      <c r="D271" s="136" t="s">
        <v>2212</v>
      </c>
      <c r="E271" s="4" t="s">
        <v>24</v>
      </c>
      <c r="F271" s="5" t="s">
        <v>454</v>
      </c>
      <c r="G271" s="5">
        <v>18.23</v>
      </c>
      <c r="H271" s="8">
        <f t="shared" si="32"/>
        <v>4241.93</v>
      </c>
    </row>
    <row r="272" spans="2:8" ht="38.25">
      <c r="B272" s="175" t="s">
        <v>2400</v>
      </c>
      <c r="C272" s="170" t="s">
        <v>2827</v>
      </c>
      <c r="D272" s="3" t="s">
        <v>455</v>
      </c>
      <c r="E272" s="4" t="s">
        <v>456</v>
      </c>
      <c r="F272" s="5" t="s">
        <v>457</v>
      </c>
      <c r="G272" s="5">
        <v>9.7899999999999991</v>
      </c>
      <c r="H272" s="8">
        <f t="shared" si="32"/>
        <v>3700.62</v>
      </c>
    </row>
    <row r="273" spans="2:8" ht="25.5">
      <c r="B273" s="175" t="s">
        <v>2401</v>
      </c>
      <c r="C273" s="170" t="s">
        <v>458</v>
      </c>
      <c r="D273" s="3" t="s">
        <v>459</v>
      </c>
      <c r="E273" s="4" t="s">
        <v>24</v>
      </c>
      <c r="F273" s="5" t="s">
        <v>460</v>
      </c>
      <c r="G273" s="5">
        <v>18.149999999999999</v>
      </c>
      <c r="H273" s="8">
        <f t="shared" si="32"/>
        <v>52583.99</v>
      </c>
    </row>
    <row r="274" spans="2:8" ht="25.5">
      <c r="B274" s="175" t="s">
        <v>2402</v>
      </c>
      <c r="C274" s="170" t="s">
        <v>461</v>
      </c>
      <c r="D274" s="3" t="s">
        <v>462</v>
      </c>
      <c r="E274" s="4" t="s">
        <v>24</v>
      </c>
      <c r="F274" s="5">
        <v>2659.12</v>
      </c>
      <c r="G274" s="5">
        <v>16.21</v>
      </c>
      <c r="H274" s="8">
        <f t="shared" si="32"/>
        <v>43104.33</v>
      </c>
    </row>
    <row r="275" spans="2:8" ht="25.5">
      <c r="B275" s="175" t="s">
        <v>2403</v>
      </c>
      <c r="C275" s="170" t="s">
        <v>463</v>
      </c>
      <c r="D275" s="3" t="s">
        <v>464</v>
      </c>
      <c r="E275" s="4" t="s">
        <v>24</v>
      </c>
      <c r="F275" s="5" t="s">
        <v>460</v>
      </c>
      <c r="G275" s="5">
        <v>21.77</v>
      </c>
      <c r="H275" s="8">
        <f t="shared" si="32"/>
        <v>63071.82</v>
      </c>
    </row>
    <row r="276" spans="2:8" ht="27" customHeight="1">
      <c r="B276" s="175" t="s">
        <v>2404</v>
      </c>
      <c r="C276" s="170" t="s">
        <v>2184</v>
      </c>
      <c r="D276" s="3" t="s">
        <v>1838</v>
      </c>
      <c r="E276" s="4" t="s">
        <v>24</v>
      </c>
      <c r="F276" s="5">
        <v>2521.4299999999998</v>
      </c>
      <c r="G276" s="5">
        <f>CPU!H750</f>
        <v>49.419519999999999</v>
      </c>
      <c r="H276" s="8">
        <f t="shared" si="32"/>
        <v>124607.86</v>
      </c>
    </row>
    <row r="277" spans="2:8" ht="25.5" customHeight="1">
      <c r="B277" s="175" t="s">
        <v>2405</v>
      </c>
      <c r="C277" s="170" t="s">
        <v>465</v>
      </c>
      <c r="D277" s="3" t="s">
        <v>466</v>
      </c>
      <c r="E277" s="4" t="s">
        <v>24</v>
      </c>
      <c r="F277" s="5" t="s">
        <v>440</v>
      </c>
      <c r="G277" s="5">
        <v>31.92</v>
      </c>
      <c r="H277" s="8">
        <f t="shared" si="32"/>
        <v>63931.61</v>
      </c>
    </row>
    <row r="278" spans="2:8" ht="15" customHeight="1">
      <c r="B278" s="175"/>
      <c r="C278" s="7"/>
      <c r="D278" s="193" t="s">
        <v>1175</v>
      </c>
      <c r="E278" s="194"/>
      <c r="F278" s="195"/>
      <c r="G278" s="195"/>
      <c r="H278" s="196">
        <f>SUM(H269:H277)</f>
        <v>489013.60999999993</v>
      </c>
    </row>
    <row r="279" spans="2:8" s="134" customFormat="1" ht="15" customHeight="1">
      <c r="B279" s="169" t="s">
        <v>467</v>
      </c>
      <c r="C279" s="169"/>
      <c r="D279" s="187" t="s">
        <v>468</v>
      </c>
      <c r="E279" s="187"/>
      <c r="F279" s="187"/>
      <c r="G279" s="187"/>
      <c r="H279" s="190" t="s">
        <v>1154</v>
      </c>
    </row>
    <row r="280" spans="2:8" ht="25.5">
      <c r="B280" s="175" t="s">
        <v>2406</v>
      </c>
      <c r="C280" s="170" t="s">
        <v>2021</v>
      </c>
      <c r="D280" s="136" t="s">
        <v>469</v>
      </c>
      <c r="E280" s="4" t="s">
        <v>24</v>
      </c>
      <c r="F280" s="5">
        <v>343.57</v>
      </c>
      <c r="G280" s="5">
        <f>CPU!H765</f>
        <v>92.364261885399998</v>
      </c>
      <c r="H280" s="8">
        <f>TRUNC(F280*G280,(2))</f>
        <v>31733.58</v>
      </c>
    </row>
    <row r="281" spans="2:8" s="134" customFormat="1" ht="15" customHeight="1">
      <c r="B281" s="175"/>
      <c r="C281" s="138"/>
      <c r="D281" s="193" t="s">
        <v>1176</v>
      </c>
      <c r="E281" s="194"/>
      <c r="F281" s="195"/>
      <c r="G281" s="195"/>
      <c r="H281" s="196">
        <f>SUM(H280:H280)</f>
        <v>31733.58</v>
      </c>
    </row>
    <row r="282" spans="2:8" s="134" customFormat="1" ht="15" customHeight="1">
      <c r="B282" s="169" t="s">
        <v>470</v>
      </c>
      <c r="C282" s="169"/>
      <c r="D282" s="187" t="s">
        <v>471</v>
      </c>
      <c r="E282" s="187"/>
      <c r="F282" s="187"/>
      <c r="G282" s="187"/>
      <c r="H282" s="190" t="s">
        <v>1154</v>
      </c>
    </row>
    <row r="283" spans="2:8" ht="25.5">
      <c r="B283" s="175" t="s">
        <v>2407</v>
      </c>
      <c r="C283" s="170" t="s">
        <v>2022</v>
      </c>
      <c r="D283" s="136" t="s">
        <v>473</v>
      </c>
      <c r="E283" s="4" t="s">
        <v>24</v>
      </c>
      <c r="F283" s="5" t="s">
        <v>474</v>
      </c>
      <c r="G283" s="5">
        <f>CPU!H770</f>
        <v>15.78919021928</v>
      </c>
      <c r="H283" s="8">
        <f t="shared" ref="H283:H294" si="33">TRUNC(F283*G283,(2))</f>
        <v>65377.35</v>
      </c>
    </row>
    <row r="284" spans="2:8" ht="25.5">
      <c r="B284" s="175" t="s">
        <v>2408</v>
      </c>
      <c r="C284" s="170" t="s">
        <v>2023</v>
      </c>
      <c r="D284" s="3" t="s">
        <v>475</v>
      </c>
      <c r="E284" s="4" t="s">
        <v>24</v>
      </c>
      <c r="F284" s="5" t="s">
        <v>476</v>
      </c>
      <c r="G284" s="5">
        <f>CPU!H776</f>
        <v>18.048127000000001</v>
      </c>
      <c r="H284" s="8">
        <f t="shared" si="33"/>
        <v>6371.53</v>
      </c>
    </row>
    <row r="285" spans="2:8" ht="51">
      <c r="B285" s="175" t="s">
        <v>2409</v>
      </c>
      <c r="C285" s="170" t="s">
        <v>2025</v>
      </c>
      <c r="D285" s="85" t="s">
        <v>1839</v>
      </c>
      <c r="E285" s="4" t="s">
        <v>24</v>
      </c>
      <c r="F285" s="5">
        <v>3623</v>
      </c>
      <c r="G285" s="5">
        <f>CPU!H784</f>
        <v>338.27197499999994</v>
      </c>
      <c r="H285" s="8">
        <f t="shared" si="33"/>
        <v>1225559.3600000001</v>
      </c>
    </row>
    <row r="286" spans="2:8" ht="51">
      <c r="B286" s="175" t="s">
        <v>2410</v>
      </c>
      <c r="C286" s="170" t="s">
        <v>2026</v>
      </c>
      <c r="D286" s="85" t="s">
        <v>1840</v>
      </c>
      <c r="E286" s="4" t="s">
        <v>24</v>
      </c>
      <c r="F286" s="5" t="s">
        <v>477</v>
      </c>
      <c r="G286" s="5">
        <f>CPU!H792</f>
        <v>198.93667500000004</v>
      </c>
      <c r="H286" s="8">
        <f t="shared" si="33"/>
        <v>143429.35999999999</v>
      </c>
    </row>
    <row r="287" spans="2:8" ht="51">
      <c r="B287" s="175" t="s">
        <v>2411</v>
      </c>
      <c r="C287" s="170" t="s">
        <v>2027</v>
      </c>
      <c r="D287" s="3" t="s">
        <v>478</v>
      </c>
      <c r="E287" s="4" t="s">
        <v>24</v>
      </c>
      <c r="F287" s="5" t="s">
        <v>479</v>
      </c>
      <c r="G287" s="5">
        <f>CPU!H799</f>
        <v>49.039649999999995</v>
      </c>
      <c r="H287" s="8">
        <f t="shared" si="33"/>
        <v>50031.23</v>
      </c>
    </row>
    <row r="288" spans="2:8" ht="25.5">
      <c r="B288" s="175" t="s">
        <v>2412</v>
      </c>
      <c r="C288" s="170" t="s">
        <v>2028</v>
      </c>
      <c r="D288" s="3" t="s">
        <v>480</v>
      </c>
      <c r="E288" s="4" t="s">
        <v>24</v>
      </c>
      <c r="F288" s="5" t="s">
        <v>477</v>
      </c>
      <c r="G288" s="5">
        <f>CPU!H807</f>
        <v>144.29044235119713</v>
      </c>
      <c r="H288" s="8">
        <f t="shared" si="33"/>
        <v>104030.52</v>
      </c>
    </row>
    <row r="289" spans="2:8" ht="51">
      <c r="B289" s="175" t="s">
        <v>2413</v>
      </c>
      <c r="C289" s="170" t="s">
        <v>481</v>
      </c>
      <c r="D289" s="3" t="s">
        <v>482</v>
      </c>
      <c r="E289" s="4" t="s">
        <v>24</v>
      </c>
      <c r="F289" s="5" t="s">
        <v>483</v>
      </c>
      <c r="G289" s="5">
        <v>58.68</v>
      </c>
      <c r="H289" s="8">
        <f t="shared" si="33"/>
        <v>313070.7</v>
      </c>
    </row>
    <row r="290" spans="2:8" ht="38.25">
      <c r="B290" s="175" t="s">
        <v>2414</v>
      </c>
      <c r="C290" s="170" t="s">
        <v>484</v>
      </c>
      <c r="D290" s="3" t="s">
        <v>485</v>
      </c>
      <c r="E290" s="4" t="s">
        <v>24</v>
      </c>
      <c r="F290" s="5" t="s">
        <v>486</v>
      </c>
      <c r="G290" s="5">
        <v>99.72</v>
      </c>
      <c r="H290" s="8">
        <f t="shared" si="33"/>
        <v>119123.51</v>
      </c>
    </row>
    <row r="291" spans="2:8" ht="38.25">
      <c r="B291" s="175" t="s">
        <v>2415</v>
      </c>
      <c r="C291" s="170" t="s">
        <v>487</v>
      </c>
      <c r="D291" s="3" t="s">
        <v>488</v>
      </c>
      <c r="E291" s="4" t="s">
        <v>24</v>
      </c>
      <c r="F291" s="5" t="s">
        <v>474</v>
      </c>
      <c r="G291" s="5">
        <v>186.25</v>
      </c>
      <c r="H291" s="8">
        <f t="shared" si="33"/>
        <v>771194.2</v>
      </c>
    </row>
    <row r="292" spans="2:8" ht="38.25">
      <c r="B292" s="175" t="s">
        <v>2416</v>
      </c>
      <c r="C292" s="170" t="s">
        <v>489</v>
      </c>
      <c r="D292" s="3" t="s">
        <v>490</v>
      </c>
      <c r="E292" s="4" t="s">
        <v>24</v>
      </c>
      <c r="F292" s="5" t="s">
        <v>491</v>
      </c>
      <c r="G292" s="5">
        <v>28.55</v>
      </c>
      <c r="H292" s="8">
        <f t="shared" si="33"/>
        <v>29574.94</v>
      </c>
    </row>
    <row r="293" spans="2:8" ht="38.25">
      <c r="B293" s="175" t="s">
        <v>2417</v>
      </c>
      <c r="C293" s="170" t="s">
        <v>492</v>
      </c>
      <c r="D293" s="3" t="s">
        <v>493</v>
      </c>
      <c r="E293" s="4" t="s">
        <v>24</v>
      </c>
      <c r="F293" s="5" t="s">
        <v>494</v>
      </c>
      <c r="G293" s="5">
        <v>52.16</v>
      </c>
      <c r="H293" s="8">
        <f t="shared" si="33"/>
        <v>100336.54</v>
      </c>
    </row>
    <row r="294" spans="2:8" ht="25.5">
      <c r="B294" s="175" t="s">
        <v>2418</v>
      </c>
      <c r="C294" s="170" t="s">
        <v>177</v>
      </c>
      <c r="D294" s="3" t="s">
        <v>178</v>
      </c>
      <c r="E294" s="4" t="s">
        <v>24</v>
      </c>
      <c r="F294" s="5" t="s">
        <v>495</v>
      </c>
      <c r="G294" s="5">
        <v>42.22</v>
      </c>
      <c r="H294" s="8">
        <f t="shared" si="33"/>
        <v>14958.54</v>
      </c>
    </row>
    <row r="295" spans="2:8" s="134" customFormat="1" ht="15" customHeight="1">
      <c r="B295" s="175"/>
      <c r="C295" s="138"/>
      <c r="D295" s="193" t="s">
        <v>1177</v>
      </c>
      <c r="E295" s="194"/>
      <c r="F295" s="195"/>
      <c r="G295" s="195"/>
      <c r="H295" s="196">
        <f>SUM(H283:H294)</f>
        <v>2943057.78</v>
      </c>
    </row>
    <row r="296" spans="2:8" s="134" customFormat="1" ht="15" customHeight="1">
      <c r="B296" s="169" t="s">
        <v>496</v>
      </c>
      <c r="C296" s="169"/>
      <c r="D296" s="187" t="s">
        <v>497</v>
      </c>
      <c r="E296" s="187"/>
      <c r="F296" s="187"/>
      <c r="G296" s="187"/>
      <c r="H296" s="190" t="s">
        <v>1154</v>
      </c>
    </row>
    <row r="297" spans="2:8" s="134" customFormat="1" ht="15" customHeight="1">
      <c r="B297" s="169" t="s">
        <v>498</v>
      </c>
      <c r="C297" s="169"/>
      <c r="D297" s="187" t="s">
        <v>499</v>
      </c>
      <c r="E297" s="187"/>
      <c r="F297" s="187"/>
      <c r="G297" s="187"/>
      <c r="H297" s="190" t="s">
        <v>1154</v>
      </c>
    </row>
    <row r="298" spans="2:8" ht="25.5">
      <c r="B298" s="175" t="s">
        <v>2419</v>
      </c>
      <c r="C298" s="170" t="s">
        <v>2032</v>
      </c>
      <c r="D298" s="136" t="s">
        <v>500</v>
      </c>
      <c r="E298" s="4" t="s">
        <v>15</v>
      </c>
      <c r="F298" s="5" t="s">
        <v>501</v>
      </c>
      <c r="G298" s="5">
        <f>CPU!H815</f>
        <v>32.136476572109999</v>
      </c>
      <c r="H298" s="8">
        <f>TRUNC(F298*G298,(2))</f>
        <v>61266.58</v>
      </c>
    </row>
    <row r="299" spans="2:8" s="134" customFormat="1" ht="15" customHeight="1">
      <c r="B299" s="169" t="s">
        <v>502</v>
      </c>
      <c r="C299" s="169"/>
      <c r="D299" s="187" t="s">
        <v>503</v>
      </c>
      <c r="E299" s="187"/>
      <c r="F299" s="187"/>
      <c r="G299" s="187"/>
      <c r="H299" s="190" t="s">
        <v>1154</v>
      </c>
    </row>
    <row r="300" spans="2:8" ht="25.5">
      <c r="B300" s="175" t="s">
        <v>2420</v>
      </c>
      <c r="C300" s="170" t="s">
        <v>1463</v>
      </c>
      <c r="D300" s="85" t="s">
        <v>1464</v>
      </c>
      <c r="E300" s="4" t="s">
        <v>15</v>
      </c>
      <c r="F300" s="5">
        <v>322.56</v>
      </c>
      <c r="G300" s="5">
        <v>87.24</v>
      </c>
      <c r="H300" s="8">
        <f>TRUNC(F300*G300,(2))</f>
        <v>28140.13</v>
      </c>
    </row>
    <row r="301" spans="2:8" s="134" customFormat="1" ht="15" customHeight="1">
      <c r="B301" s="169" t="s">
        <v>504</v>
      </c>
      <c r="C301" s="169"/>
      <c r="D301" s="187" t="s">
        <v>505</v>
      </c>
      <c r="E301" s="187"/>
      <c r="F301" s="187"/>
      <c r="G301" s="187"/>
      <c r="H301" s="190" t="s">
        <v>1154</v>
      </c>
    </row>
    <row r="302" spans="2:8" ht="25.5">
      <c r="B302" s="175" t="s">
        <v>2421</v>
      </c>
      <c r="C302" s="170" t="s">
        <v>2033</v>
      </c>
      <c r="D302" s="3" t="s">
        <v>506</v>
      </c>
      <c r="E302" s="4" t="s">
        <v>507</v>
      </c>
      <c r="F302" s="5" t="s">
        <v>508</v>
      </c>
      <c r="G302" s="5">
        <f>CPU!H823</f>
        <v>108.84051139898</v>
      </c>
      <c r="H302" s="8">
        <f t="shared" ref="H302:H303" si="34">TRUNC(F302*G302,(2))</f>
        <v>20536.02</v>
      </c>
    </row>
    <row r="303" spans="2:8" ht="25.5">
      <c r="B303" s="175" t="s">
        <v>2422</v>
      </c>
      <c r="C303" s="170" t="s">
        <v>2034</v>
      </c>
      <c r="D303" s="3" t="s">
        <v>509</v>
      </c>
      <c r="E303" s="4" t="s">
        <v>15</v>
      </c>
      <c r="F303" s="5" t="s">
        <v>510</v>
      </c>
      <c r="G303" s="5">
        <f>CPU!H829</f>
        <v>149.00433283750002</v>
      </c>
      <c r="H303" s="8">
        <f t="shared" si="34"/>
        <v>26145.79</v>
      </c>
    </row>
    <row r="304" spans="2:8" ht="15" customHeight="1">
      <c r="B304" s="175"/>
      <c r="C304" s="170"/>
      <c r="D304" s="193" t="s">
        <v>1178</v>
      </c>
      <c r="E304" s="194"/>
      <c r="F304" s="195"/>
      <c r="G304" s="195"/>
      <c r="H304" s="196">
        <f>SUM(H298:H303)</f>
        <v>136088.52000000002</v>
      </c>
    </row>
    <row r="305" spans="2:8" s="134" customFormat="1" ht="15" customHeight="1">
      <c r="B305" s="169" t="s">
        <v>511</v>
      </c>
      <c r="C305" s="169"/>
      <c r="D305" s="187" t="s">
        <v>512</v>
      </c>
      <c r="E305" s="187"/>
      <c r="F305" s="187"/>
      <c r="G305" s="187"/>
      <c r="H305" s="190" t="s">
        <v>1154</v>
      </c>
    </row>
    <row r="306" spans="2:8" ht="38.25">
      <c r="B306" s="175" t="s">
        <v>2423</v>
      </c>
      <c r="C306" s="170" t="s">
        <v>2035</v>
      </c>
      <c r="D306" s="3" t="s">
        <v>2036</v>
      </c>
      <c r="E306" s="4" t="s">
        <v>15</v>
      </c>
      <c r="F306" s="5" t="s">
        <v>513</v>
      </c>
      <c r="G306" s="5">
        <f>CPU!H839</f>
        <v>525.24128908038006</v>
      </c>
      <c r="H306" s="8">
        <f t="shared" ref="H306:H312" si="35">TRUNC(F306*G306,(2))</f>
        <v>26577.200000000001</v>
      </c>
    </row>
    <row r="307" spans="2:8" ht="38.25">
      <c r="B307" s="175" t="s">
        <v>2424</v>
      </c>
      <c r="C307" s="170" t="s">
        <v>2037</v>
      </c>
      <c r="D307" s="3" t="s">
        <v>1843</v>
      </c>
      <c r="E307" s="4" t="s">
        <v>15</v>
      </c>
      <c r="F307" s="5">
        <v>49</v>
      </c>
      <c r="G307" s="5">
        <f>CPU!H848</f>
        <v>491.0861210921999</v>
      </c>
      <c r="H307" s="8">
        <f t="shared" si="35"/>
        <v>24063.21</v>
      </c>
    </row>
    <row r="308" spans="2:8" s="134" customFormat="1" ht="29.25" customHeight="1">
      <c r="B308" s="175" t="s">
        <v>2425</v>
      </c>
      <c r="C308" s="170" t="s">
        <v>2038</v>
      </c>
      <c r="D308" s="137" t="s">
        <v>1844</v>
      </c>
      <c r="E308" s="345" t="s">
        <v>37</v>
      </c>
      <c r="F308" s="195">
        <v>1</v>
      </c>
      <c r="G308" s="346">
        <f>CPU!H858</f>
        <v>2292.8027510000002</v>
      </c>
      <c r="H308" s="8">
        <f t="shared" si="35"/>
        <v>2292.8000000000002</v>
      </c>
    </row>
    <row r="309" spans="2:8" s="134" customFormat="1" ht="29.25" customHeight="1">
      <c r="B309" s="175" t="s">
        <v>2426</v>
      </c>
      <c r="C309" s="170" t="s">
        <v>2039</v>
      </c>
      <c r="D309" s="137" t="s">
        <v>1845</v>
      </c>
      <c r="E309" s="345" t="s">
        <v>37</v>
      </c>
      <c r="F309" s="195">
        <v>1</v>
      </c>
      <c r="G309" s="195">
        <f>CPU!H867</f>
        <v>3180.3505679999998</v>
      </c>
      <c r="H309" s="8">
        <f t="shared" si="35"/>
        <v>3180.35</v>
      </c>
    </row>
    <row r="310" spans="2:8" s="134" customFormat="1" ht="29.25" customHeight="1">
      <c r="B310" s="175" t="s">
        <v>2427</v>
      </c>
      <c r="C310" s="170" t="s">
        <v>2040</v>
      </c>
      <c r="D310" s="137" t="s">
        <v>1846</v>
      </c>
      <c r="E310" s="345" t="s">
        <v>37</v>
      </c>
      <c r="F310" s="195">
        <v>1</v>
      </c>
      <c r="G310" s="195">
        <f>CPU!H877</f>
        <v>2831.3210710000003</v>
      </c>
      <c r="H310" s="8">
        <f t="shared" si="35"/>
        <v>2831.32</v>
      </c>
    </row>
    <row r="311" spans="2:8" s="134" customFormat="1" ht="24.75" customHeight="1">
      <c r="B311" s="175" t="s">
        <v>2428</v>
      </c>
      <c r="C311" s="170" t="s">
        <v>2041</v>
      </c>
      <c r="D311" s="137" t="s">
        <v>1847</v>
      </c>
      <c r="E311" s="345" t="s">
        <v>37</v>
      </c>
      <c r="F311" s="195">
        <v>1</v>
      </c>
      <c r="G311" s="195">
        <f>CPU!H887</f>
        <v>6490.8290699999998</v>
      </c>
      <c r="H311" s="8">
        <f t="shared" si="35"/>
        <v>6490.82</v>
      </c>
    </row>
    <row r="312" spans="2:8" s="134" customFormat="1" ht="27.75" customHeight="1">
      <c r="B312" s="175" t="s">
        <v>2429</v>
      </c>
      <c r="C312" s="170" t="s">
        <v>2042</v>
      </c>
      <c r="D312" s="137" t="s">
        <v>1848</v>
      </c>
      <c r="E312" s="345" t="s">
        <v>37</v>
      </c>
      <c r="F312" s="195">
        <v>1</v>
      </c>
      <c r="G312" s="195">
        <f>CPU!H897</f>
        <v>5631.4435219999996</v>
      </c>
      <c r="H312" s="8">
        <f t="shared" si="35"/>
        <v>5631.44</v>
      </c>
    </row>
    <row r="313" spans="2:8" s="134" customFormat="1" ht="15" customHeight="1">
      <c r="B313" s="175"/>
      <c r="C313" s="170"/>
      <c r="D313" s="193" t="s">
        <v>1179</v>
      </c>
      <c r="E313" s="194"/>
      <c r="F313" s="195"/>
      <c r="G313" s="195"/>
      <c r="H313" s="196">
        <f>SUM(H306:H312)</f>
        <v>71067.14</v>
      </c>
    </row>
    <row r="314" spans="2:8" s="134" customFormat="1" ht="15" customHeight="1">
      <c r="B314" s="169" t="s">
        <v>514</v>
      </c>
      <c r="C314" s="169"/>
      <c r="D314" s="187" t="s">
        <v>515</v>
      </c>
      <c r="E314" s="187"/>
      <c r="F314" s="187"/>
      <c r="G314" s="187"/>
      <c r="H314" s="190" t="s">
        <v>1154</v>
      </c>
    </row>
    <row r="315" spans="2:8" ht="17.100000000000001" customHeight="1">
      <c r="B315" s="175" t="s">
        <v>2430</v>
      </c>
      <c r="C315" s="170" t="s">
        <v>517</v>
      </c>
      <c r="D315" s="136" t="s">
        <v>518</v>
      </c>
      <c r="E315" s="4" t="s">
        <v>37</v>
      </c>
      <c r="F315" s="5" t="s">
        <v>289</v>
      </c>
      <c r="G315" s="432">
        <f>73.34*1.2173</f>
        <v>89.276782000000011</v>
      </c>
      <c r="H315" s="8">
        <f t="shared" ref="H315:H317" si="36">TRUNC(F315*G315,(2))</f>
        <v>1964.08</v>
      </c>
    </row>
    <row r="316" spans="2:8" ht="17.100000000000001" customHeight="1">
      <c r="B316" s="175" t="s">
        <v>2431</v>
      </c>
      <c r="C316" s="170" t="s">
        <v>519</v>
      </c>
      <c r="D316" s="136" t="s">
        <v>520</v>
      </c>
      <c r="E316" s="4" t="s">
        <v>37</v>
      </c>
      <c r="F316" s="5" t="s">
        <v>25</v>
      </c>
      <c r="G316" s="5">
        <v>28.74</v>
      </c>
      <c r="H316" s="8">
        <f t="shared" si="36"/>
        <v>775.98</v>
      </c>
    </row>
    <row r="317" spans="2:8" ht="17.100000000000001" customHeight="1">
      <c r="B317" s="175" t="s">
        <v>2432</v>
      </c>
      <c r="C317" s="170" t="s">
        <v>521</v>
      </c>
      <c r="D317" s="136" t="s">
        <v>522</v>
      </c>
      <c r="E317" s="4" t="s">
        <v>37</v>
      </c>
      <c r="F317" s="5" t="s">
        <v>523</v>
      </c>
      <c r="G317" s="5">
        <v>46.36</v>
      </c>
      <c r="H317" s="8">
        <f t="shared" si="36"/>
        <v>4218.76</v>
      </c>
    </row>
    <row r="318" spans="2:8" s="134" customFormat="1" ht="15" customHeight="1">
      <c r="B318" s="175"/>
      <c r="C318" s="171"/>
      <c r="D318" s="193" t="s">
        <v>1180</v>
      </c>
      <c r="E318" s="194"/>
      <c r="F318" s="195"/>
      <c r="G318" s="195"/>
      <c r="H318" s="196">
        <f>SUM(H315:H317)</f>
        <v>6958.82</v>
      </c>
    </row>
    <row r="319" spans="2:8" s="134" customFormat="1" ht="15" customHeight="1">
      <c r="B319" s="169" t="s">
        <v>524</v>
      </c>
      <c r="C319" s="169"/>
      <c r="D319" s="187" t="s">
        <v>525</v>
      </c>
      <c r="E319" s="187"/>
      <c r="F319" s="187"/>
      <c r="G319" s="187"/>
      <c r="H319" s="190" t="s">
        <v>1154</v>
      </c>
    </row>
    <row r="320" spans="2:8" ht="25.5">
      <c r="B320" s="175" t="s">
        <v>2433</v>
      </c>
      <c r="C320" s="170" t="s">
        <v>526</v>
      </c>
      <c r="D320" s="3" t="s">
        <v>527</v>
      </c>
      <c r="E320" s="4" t="s">
        <v>24</v>
      </c>
      <c r="F320" s="5" t="s">
        <v>528</v>
      </c>
      <c r="G320" s="5">
        <v>21.41</v>
      </c>
      <c r="H320" s="8">
        <f t="shared" ref="H320:H323" si="37">TRUNC(F320*G320,(2))</f>
        <v>19183.36</v>
      </c>
    </row>
    <row r="321" spans="2:8" ht="17.25" customHeight="1">
      <c r="B321" s="175" t="s">
        <v>2434</v>
      </c>
      <c r="C321" s="170" t="s">
        <v>529</v>
      </c>
      <c r="D321" s="136" t="s">
        <v>530</v>
      </c>
      <c r="E321" s="4" t="s">
        <v>24</v>
      </c>
      <c r="F321" s="5">
        <v>8620</v>
      </c>
      <c r="G321" s="5">
        <v>14.54</v>
      </c>
      <c r="H321" s="8">
        <f t="shared" si="37"/>
        <v>125334.8</v>
      </c>
    </row>
    <row r="322" spans="2:8" ht="24.75" customHeight="1">
      <c r="B322" s="175" t="s">
        <v>2435</v>
      </c>
      <c r="C322" s="170" t="s">
        <v>1924</v>
      </c>
      <c r="D322" s="3" t="s">
        <v>1925</v>
      </c>
      <c r="E322" s="4" t="s">
        <v>37</v>
      </c>
      <c r="F322" s="5">
        <v>34</v>
      </c>
      <c r="G322" s="432">
        <f>107.26*1.2173</f>
        <v>130.567598</v>
      </c>
      <c r="H322" s="8">
        <f t="shared" si="37"/>
        <v>4439.29</v>
      </c>
    </row>
    <row r="323" spans="2:8" ht="27.75" customHeight="1">
      <c r="B323" s="175" t="s">
        <v>2436</v>
      </c>
      <c r="C323" s="170" t="s">
        <v>1926</v>
      </c>
      <c r="D323" s="3" t="s">
        <v>1927</v>
      </c>
      <c r="E323" s="4" t="s">
        <v>37</v>
      </c>
      <c r="F323" s="5">
        <v>34</v>
      </c>
      <c r="G323" s="5">
        <v>127.27</v>
      </c>
      <c r="H323" s="8">
        <f t="shared" si="37"/>
        <v>4327.18</v>
      </c>
    </row>
    <row r="324" spans="2:8" s="134" customFormat="1" ht="15" customHeight="1">
      <c r="B324" s="175"/>
      <c r="C324" s="170"/>
      <c r="D324" s="193" t="s">
        <v>1181</v>
      </c>
      <c r="E324" s="194"/>
      <c r="F324" s="195"/>
      <c r="G324" s="195"/>
      <c r="H324" s="196">
        <f>SUM(H320:H323)</f>
        <v>153284.63</v>
      </c>
    </row>
    <row r="325" spans="2:8" s="134" customFormat="1" ht="15" customHeight="1">
      <c r="B325" s="169" t="s">
        <v>531</v>
      </c>
      <c r="C325" s="169"/>
      <c r="D325" s="187" t="s">
        <v>532</v>
      </c>
      <c r="E325" s="187"/>
      <c r="F325" s="187"/>
      <c r="G325" s="187"/>
      <c r="H325" s="190" t="s">
        <v>1154</v>
      </c>
    </row>
    <row r="326" spans="2:8" s="134" customFormat="1" ht="15" customHeight="1">
      <c r="B326" s="169" t="s">
        <v>533</v>
      </c>
      <c r="C326" s="169"/>
      <c r="D326" s="187" t="s">
        <v>534</v>
      </c>
      <c r="E326" s="187"/>
      <c r="F326" s="187"/>
      <c r="G326" s="187"/>
      <c r="H326" s="190" t="s">
        <v>1154</v>
      </c>
    </row>
    <row r="327" spans="2:8" ht="39.75" customHeight="1">
      <c r="B327" s="175" t="s">
        <v>2437</v>
      </c>
      <c r="C327" s="170" t="s">
        <v>2185</v>
      </c>
      <c r="D327" s="3" t="s">
        <v>74</v>
      </c>
      <c r="E327" s="4" t="s">
        <v>75</v>
      </c>
      <c r="F327" s="5" t="s">
        <v>535</v>
      </c>
      <c r="G327" s="432">
        <f>6.08*1.2173</f>
        <v>7.4011840000000007</v>
      </c>
      <c r="H327" s="8">
        <f t="shared" ref="H327:H328" si="38">TRUNC(F327*G327,(2))</f>
        <v>5509.81</v>
      </c>
    </row>
    <row r="328" spans="2:8" ht="38.25">
      <c r="B328" s="175" t="s">
        <v>2438</v>
      </c>
      <c r="C328" s="170" t="s">
        <v>106</v>
      </c>
      <c r="D328" s="3" t="s">
        <v>107</v>
      </c>
      <c r="E328" s="4" t="s">
        <v>108</v>
      </c>
      <c r="F328" s="5" t="s">
        <v>536</v>
      </c>
      <c r="G328" s="5">
        <v>0.89</v>
      </c>
      <c r="H328" s="8">
        <f t="shared" si="38"/>
        <v>15238.89</v>
      </c>
    </row>
    <row r="329" spans="2:8" s="134" customFormat="1" ht="15" customHeight="1">
      <c r="B329" s="169" t="s">
        <v>537</v>
      </c>
      <c r="C329" s="169"/>
      <c r="D329" s="187" t="s">
        <v>538</v>
      </c>
      <c r="E329" s="187"/>
      <c r="F329" s="187"/>
      <c r="G329" s="187"/>
      <c r="H329" s="190" t="s">
        <v>1154</v>
      </c>
    </row>
    <row r="330" spans="2:8" ht="25.5">
      <c r="B330" s="175" t="s">
        <v>2439</v>
      </c>
      <c r="C330" s="170" t="s">
        <v>2213</v>
      </c>
      <c r="D330" s="3" t="s">
        <v>539</v>
      </c>
      <c r="E330" s="4" t="s">
        <v>24</v>
      </c>
      <c r="F330" s="5" t="s">
        <v>540</v>
      </c>
      <c r="G330" s="5">
        <v>2.23</v>
      </c>
      <c r="H330" s="8">
        <f t="shared" ref="H330:H331" si="39">TRUNC(F330*G330,(2))</f>
        <v>5213.74</v>
      </c>
    </row>
    <row r="331" spans="2:8" ht="38.25">
      <c r="B331" s="175" t="s">
        <v>2440</v>
      </c>
      <c r="C331" s="170" t="s">
        <v>2043</v>
      </c>
      <c r="D331" s="3" t="s">
        <v>541</v>
      </c>
      <c r="E331" s="4" t="s">
        <v>75</v>
      </c>
      <c r="F331" s="5" t="s">
        <v>542</v>
      </c>
      <c r="G331" s="5">
        <f>CPU!H902</f>
        <v>2.2051781999999998</v>
      </c>
      <c r="H331" s="8">
        <f t="shared" si="39"/>
        <v>1032.02</v>
      </c>
    </row>
    <row r="332" spans="2:8" s="134" customFormat="1" ht="15" customHeight="1">
      <c r="B332" s="169" t="s">
        <v>543</v>
      </c>
      <c r="C332" s="169"/>
      <c r="D332" s="187" t="s">
        <v>544</v>
      </c>
      <c r="E332" s="187"/>
      <c r="F332" s="187"/>
      <c r="G332" s="187"/>
      <c r="H332" s="190" t="s">
        <v>1154</v>
      </c>
    </row>
    <row r="333" spans="2:8" ht="65.25" customHeight="1">
      <c r="B333" s="175" t="s">
        <v>2441</v>
      </c>
      <c r="C333" s="170" t="s">
        <v>545</v>
      </c>
      <c r="D333" s="3" t="s">
        <v>546</v>
      </c>
      <c r="E333" s="4" t="s">
        <v>15</v>
      </c>
      <c r="F333" s="5" t="s">
        <v>547</v>
      </c>
      <c r="G333" s="5">
        <v>53.75</v>
      </c>
      <c r="H333" s="8">
        <f>TRUNC(F333*G333,(2))</f>
        <v>18221.25</v>
      </c>
    </row>
    <row r="334" spans="2:8" s="134" customFormat="1" ht="15" customHeight="1">
      <c r="B334" s="169" t="s">
        <v>548</v>
      </c>
      <c r="C334" s="169" t="s">
        <v>548</v>
      </c>
      <c r="D334" s="187" t="s">
        <v>549</v>
      </c>
      <c r="E334" s="187"/>
      <c r="F334" s="187"/>
      <c r="G334" s="187"/>
      <c r="H334" s="190" t="s">
        <v>1154</v>
      </c>
    </row>
    <row r="335" spans="2:8" ht="15" customHeight="1">
      <c r="B335" s="175" t="s">
        <v>2442</v>
      </c>
      <c r="C335" s="170" t="s">
        <v>2186</v>
      </c>
      <c r="D335" s="136" t="s">
        <v>550</v>
      </c>
      <c r="E335" s="4" t="s">
        <v>75</v>
      </c>
      <c r="F335" s="5">
        <v>269.73</v>
      </c>
      <c r="G335" s="432">
        <f>177.13*1.2173</f>
        <v>215.620349</v>
      </c>
      <c r="H335" s="8">
        <f>TRUNC(F335*G335,(2))</f>
        <v>58159.27</v>
      </c>
    </row>
    <row r="336" spans="2:8" s="134" customFormat="1" ht="15" customHeight="1">
      <c r="B336" s="169" t="s">
        <v>551</v>
      </c>
      <c r="C336" s="169" t="s">
        <v>551</v>
      </c>
      <c r="D336" s="187" t="s">
        <v>422</v>
      </c>
      <c r="E336" s="187"/>
      <c r="F336" s="187"/>
      <c r="G336" s="187"/>
      <c r="H336" s="190" t="s">
        <v>1154</v>
      </c>
    </row>
    <row r="337" spans="2:8" ht="38.25">
      <c r="B337" s="175" t="s">
        <v>2443</v>
      </c>
      <c r="C337" s="170" t="s">
        <v>552</v>
      </c>
      <c r="D337" s="3" t="s">
        <v>553</v>
      </c>
      <c r="E337" s="4" t="s">
        <v>24</v>
      </c>
      <c r="F337" s="5" t="s">
        <v>528</v>
      </c>
      <c r="G337" s="5">
        <v>73.11</v>
      </c>
      <c r="H337" s="8">
        <f t="shared" ref="H337:H338" si="40">TRUNC(F337*G337,(2))</f>
        <v>65506.559999999998</v>
      </c>
    </row>
    <row r="338" spans="2:8" ht="39" customHeight="1">
      <c r="B338" s="175" t="s">
        <v>2444</v>
      </c>
      <c r="C338" s="170" t="s">
        <v>554</v>
      </c>
      <c r="D338" s="3" t="s">
        <v>555</v>
      </c>
      <c r="E338" s="4" t="s">
        <v>24</v>
      </c>
      <c r="F338" s="5">
        <v>902.2</v>
      </c>
      <c r="G338" s="5">
        <v>76.099999999999994</v>
      </c>
      <c r="H338" s="8">
        <f t="shared" si="40"/>
        <v>68657.42</v>
      </c>
    </row>
    <row r="339" spans="2:8" s="134" customFormat="1" ht="15" customHeight="1">
      <c r="B339" s="169" t="s">
        <v>556</v>
      </c>
      <c r="C339" s="169" t="s">
        <v>556</v>
      </c>
      <c r="D339" s="187" t="s">
        <v>557</v>
      </c>
      <c r="E339" s="187"/>
      <c r="F339" s="187"/>
      <c r="G339" s="187"/>
      <c r="H339" s="190" t="s">
        <v>1154</v>
      </c>
    </row>
    <row r="340" spans="2:8" ht="38.25">
      <c r="B340" s="175" t="s">
        <v>2445</v>
      </c>
      <c r="C340" s="170" t="s">
        <v>558</v>
      </c>
      <c r="D340" s="3" t="s">
        <v>559</v>
      </c>
      <c r="E340" s="4" t="s">
        <v>24</v>
      </c>
      <c r="F340" s="5">
        <v>2040.5</v>
      </c>
      <c r="G340" s="5">
        <v>85.44</v>
      </c>
      <c r="H340" s="8">
        <f t="shared" ref="H340:H341" si="41">TRUNC(F340*G340,(2))</f>
        <v>174340.32</v>
      </c>
    </row>
    <row r="341" spans="2:8" ht="28.5" customHeight="1">
      <c r="B341" s="175" t="s">
        <v>2446</v>
      </c>
      <c r="C341" s="177" t="s">
        <v>2187</v>
      </c>
      <c r="D341" s="85" t="s">
        <v>1859</v>
      </c>
      <c r="E341" s="4" t="s">
        <v>37</v>
      </c>
      <c r="F341" s="5">
        <v>3</v>
      </c>
      <c r="G341" s="5">
        <f>CPU!H918</f>
        <v>777.74330268800009</v>
      </c>
      <c r="H341" s="8">
        <f t="shared" si="41"/>
        <v>2333.2199999999998</v>
      </c>
    </row>
    <row r="342" spans="2:8" ht="15" customHeight="1">
      <c r="B342" s="175"/>
      <c r="C342" s="170"/>
      <c r="D342" s="193" t="s">
        <v>1182</v>
      </c>
      <c r="E342" s="194"/>
      <c r="F342" s="195"/>
      <c r="G342" s="195"/>
      <c r="H342" s="196">
        <f>SUM(H327:H341)</f>
        <v>414212.5</v>
      </c>
    </row>
    <row r="343" spans="2:8" s="134" customFormat="1" ht="15" customHeight="1">
      <c r="B343" s="169" t="s">
        <v>560</v>
      </c>
      <c r="C343" s="169"/>
      <c r="D343" s="187" t="s">
        <v>561</v>
      </c>
      <c r="E343" s="187"/>
      <c r="F343" s="187"/>
      <c r="G343" s="187"/>
      <c r="H343" s="190" t="s">
        <v>1154</v>
      </c>
    </row>
    <row r="344" spans="2:8" ht="25.5">
      <c r="B344" s="175" t="s">
        <v>2447</v>
      </c>
      <c r="C344" s="7" t="s">
        <v>2188</v>
      </c>
      <c r="D344" s="3" t="s">
        <v>562</v>
      </c>
      <c r="E344" s="4" t="s">
        <v>24</v>
      </c>
      <c r="F344" s="5" t="s">
        <v>563</v>
      </c>
      <c r="G344" s="432">
        <v>40.01</v>
      </c>
      <c r="H344" s="8">
        <f t="shared" ref="H344:H346" si="42">TRUNC(F344*G344,(2))</f>
        <v>1932.48</v>
      </c>
    </row>
    <row r="345" spans="2:8" ht="25.5">
      <c r="B345" s="175" t="s">
        <v>2448</v>
      </c>
      <c r="C345" s="7" t="s">
        <v>2189</v>
      </c>
      <c r="D345" s="3" t="s">
        <v>564</v>
      </c>
      <c r="E345" s="4" t="s">
        <v>24</v>
      </c>
      <c r="F345" s="5" t="s">
        <v>73</v>
      </c>
      <c r="G345" s="432">
        <v>610.29</v>
      </c>
      <c r="H345" s="8">
        <f t="shared" si="42"/>
        <v>1391.46</v>
      </c>
    </row>
    <row r="346" spans="2:8" ht="25.5">
      <c r="B346" s="175" t="s">
        <v>2449</v>
      </c>
      <c r="C346" s="7" t="s">
        <v>2190</v>
      </c>
      <c r="D346" s="3" t="s">
        <v>565</v>
      </c>
      <c r="E346" s="4" t="s">
        <v>24</v>
      </c>
      <c r="F346" s="5" t="s">
        <v>566</v>
      </c>
      <c r="G346" s="432">
        <v>48.31</v>
      </c>
      <c r="H346" s="8">
        <f t="shared" si="42"/>
        <v>1478.28</v>
      </c>
    </row>
    <row r="347" spans="2:8" s="134" customFormat="1" ht="15" customHeight="1">
      <c r="B347" s="175"/>
      <c r="C347" s="138"/>
      <c r="D347" s="193" t="s">
        <v>1183</v>
      </c>
      <c r="E347" s="194"/>
      <c r="F347" s="195"/>
      <c r="G347" s="195"/>
      <c r="H347" s="196">
        <f>SUM(H344:H346)</f>
        <v>4802.22</v>
      </c>
    </row>
    <row r="348" spans="2:8" s="134" customFormat="1" ht="20.100000000000001" customHeight="1">
      <c r="B348" s="172"/>
      <c r="C348" s="178"/>
      <c r="D348" s="179" t="s">
        <v>2790</v>
      </c>
      <c r="E348" s="180"/>
      <c r="F348" s="181"/>
      <c r="G348" s="181"/>
      <c r="H348" s="182">
        <f>H190+H229+H235+H243+H249+H255+H263+H267+H278+H281+H295+H304+H313+H324+H342+H347</f>
        <v>9577024.0900000017</v>
      </c>
    </row>
    <row r="349" spans="2:8" s="134" customFormat="1" ht="20.100000000000001" customHeight="1">
      <c r="B349" s="176" t="s">
        <v>567</v>
      </c>
      <c r="C349" s="176"/>
      <c r="D349" s="204" t="s">
        <v>568</v>
      </c>
      <c r="E349" s="204"/>
      <c r="F349" s="204"/>
      <c r="G349" s="204"/>
      <c r="H349" s="205" t="s">
        <v>1154</v>
      </c>
    </row>
    <row r="350" spans="2:8" s="134" customFormat="1" ht="15" customHeight="1">
      <c r="B350" s="163" t="s">
        <v>569</v>
      </c>
      <c r="C350" s="163"/>
      <c r="D350" s="164" t="s">
        <v>570</v>
      </c>
      <c r="E350" s="164"/>
      <c r="F350" s="164"/>
      <c r="G350" s="164"/>
      <c r="H350" s="198" t="s">
        <v>1154</v>
      </c>
    </row>
    <row r="351" spans="2:8" s="134" customFormat="1" ht="15" customHeight="1">
      <c r="B351" s="169" t="s">
        <v>571</v>
      </c>
      <c r="C351" s="169"/>
      <c r="D351" s="187" t="s">
        <v>572</v>
      </c>
      <c r="E351" s="187"/>
      <c r="F351" s="187"/>
      <c r="G351" s="187"/>
      <c r="H351" s="190" t="s">
        <v>1154</v>
      </c>
    </row>
    <row r="352" spans="2:8" ht="25.5" customHeight="1">
      <c r="B352" s="175" t="s">
        <v>2450</v>
      </c>
      <c r="C352" s="170" t="s">
        <v>573</v>
      </c>
      <c r="D352" s="3" t="s">
        <v>574</v>
      </c>
      <c r="E352" s="4" t="s">
        <v>37</v>
      </c>
      <c r="F352" s="5" t="s">
        <v>575</v>
      </c>
      <c r="G352" s="5">
        <v>40.31</v>
      </c>
      <c r="H352" s="8">
        <f t="shared" ref="H352:H364" si="43">TRUNC(F352*G352,(2))</f>
        <v>362.79</v>
      </c>
    </row>
    <row r="353" spans="2:8" ht="38.25">
      <c r="B353" s="175" t="s">
        <v>2451</v>
      </c>
      <c r="C353" s="170" t="s">
        <v>576</v>
      </c>
      <c r="D353" s="3" t="s">
        <v>577</v>
      </c>
      <c r="E353" s="4" t="s">
        <v>37</v>
      </c>
      <c r="F353" s="5" t="s">
        <v>367</v>
      </c>
      <c r="G353" s="5">
        <v>66.900000000000006</v>
      </c>
      <c r="H353" s="8">
        <f t="shared" si="43"/>
        <v>133.80000000000001</v>
      </c>
    </row>
    <row r="354" spans="2:8" ht="53.25" customHeight="1">
      <c r="B354" s="175" t="s">
        <v>2452</v>
      </c>
      <c r="C354" s="170" t="s">
        <v>578</v>
      </c>
      <c r="D354" s="3" t="s">
        <v>579</v>
      </c>
      <c r="E354" s="4" t="s">
        <v>15</v>
      </c>
      <c r="F354" s="5" t="s">
        <v>580</v>
      </c>
      <c r="G354" s="5">
        <v>73.64</v>
      </c>
      <c r="H354" s="8">
        <f t="shared" si="43"/>
        <v>883.68</v>
      </c>
    </row>
    <row r="355" spans="2:8" ht="49.5" customHeight="1">
      <c r="B355" s="175" t="s">
        <v>2453</v>
      </c>
      <c r="C355" s="170" t="s">
        <v>581</v>
      </c>
      <c r="D355" s="3" t="s">
        <v>582</v>
      </c>
      <c r="E355" s="4" t="s">
        <v>15</v>
      </c>
      <c r="F355" s="5" t="s">
        <v>583</v>
      </c>
      <c r="G355" s="5">
        <v>103.24</v>
      </c>
      <c r="H355" s="8">
        <f t="shared" si="43"/>
        <v>619.44000000000005</v>
      </c>
    </row>
    <row r="356" spans="2:8" ht="37.5" customHeight="1">
      <c r="B356" s="175" t="s">
        <v>2454</v>
      </c>
      <c r="C356" s="170" t="s">
        <v>584</v>
      </c>
      <c r="D356" s="3" t="s">
        <v>585</v>
      </c>
      <c r="E356" s="4" t="s">
        <v>37</v>
      </c>
      <c r="F356" s="5" t="s">
        <v>516</v>
      </c>
      <c r="G356" s="5">
        <v>50.76</v>
      </c>
      <c r="H356" s="8">
        <f t="shared" si="43"/>
        <v>1015.2</v>
      </c>
    </row>
    <row r="357" spans="2:8" ht="38.25" customHeight="1">
      <c r="B357" s="175" t="s">
        <v>2455</v>
      </c>
      <c r="C357" s="170" t="s">
        <v>586</v>
      </c>
      <c r="D357" s="3" t="s">
        <v>587</v>
      </c>
      <c r="E357" s="4" t="s">
        <v>37</v>
      </c>
      <c r="F357" s="5" t="s">
        <v>588</v>
      </c>
      <c r="G357" s="5">
        <v>97.79</v>
      </c>
      <c r="H357" s="8">
        <f t="shared" si="43"/>
        <v>488.95</v>
      </c>
    </row>
    <row r="358" spans="2:8" ht="40.5" customHeight="1">
      <c r="B358" s="175" t="s">
        <v>2456</v>
      </c>
      <c r="C358" s="170" t="s">
        <v>589</v>
      </c>
      <c r="D358" s="3" t="s">
        <v>590</v>
      </c>
      <c r="E358" s="4" t="s">
        <v>37</v>
      </c>
      <c r="F358" s="5" t="s">
        <v>367</v>
      </c>
      <c r="G358" s="5">
        <v>123.9</v>
      </c>
      <c r="H358" s="8">
        <f t="shared" si="43"/>
        <v>247.8</v>
      </c>
    </row>
    <row r="359" spans="2:8" ht="38.25" customHeight="1">
      <c r="B359" s="175" t="s">
        <v>2457</v>
      </c>
      <c r="C359" s="170" t="s">
        <v>591</v>
      </c>
      <c r="D359" s="3" t="s">
        <v>592</v>
      </c>
      <c r="E359" s="4" t="s">
        <v>37</v>
      </c>
      <c r="F359" s="5" t="s">
        <v>593</v>
      </c>
      <c r="G359" s="5">
        <v>33.549999999999997</v>
      </c>
      <c r="H359" s="8">
        <f t="shared" si="43"/>
        <v>234.85</v>
      </c>
    </row>
    <row r="360" spans="2:8" ht="38.25">
      <c r="B360" s="175" t="s">
        <v>2458</v>
      </c>
      <c r="C360" s="170" t="s">
        <v>594</v>
      </c>
      <c r="D360" s="3" t="s">
        <v>595</v>
      </c>
      <c r="E360" s="4" t="s">
        <v>37</v>
      </c>
      <c r="F360" s="5" t="s">
        <v>367</v>
      </c>
      <c r="G360" s="5">
        <v>709.94</v>
      </c>
      <c r="H360" s="8">
        <f t="shared" si="43"/>
        <v>1419.88</v>
      </c>
    </row>
    <row r="361" spans="2:8" ht="38.25">
      <c r="B361" s="175" t="s">
        <v>2459</v>
      </c>
      <c r="C361" s="170" t="s">
        <v>596</v>
      </c>
      <c r="D361" s="3" t="s">
        <v>597</v>
      </c>
      <c r="E361" s="4" t="s">
        <v>37</v>
      </c>
      <c r="F361" s="5" t="s">
        <v>367</v>
      </c>
      <c r="G361" s="5">
        <v>1235.08</v>
      </c>
      <c r="H361" s="8">
        <f t="shared" si="43"/>
        <v>2470.16</v>
      </c>
    </row>
    <row r="362" spans="2:8" ht="52.5" customHeight="1">
      <c r="B362" s="175" t="s">
        <v>2460</v>
      </c>
      <c r="C362" s="170" t="s">
        <v>598</v>
      </c>
      <c r="D362" s="3" t="s">
        <v>599</v>
      </c>
      <c r="E362" s="4" t="s">
        <v>37</v>
      </c>
      <c r="F362" s="5" t="s">
        <v>358</v>
      </c>
      <c r="G362" s="5">
        <v>163.18</v>
      </c>
      <c r="H362" s="8">
        <f t="shared" si="43"/>
        <v>489.54</v>
      </c>
    </row>
    <row r="363" spans="2:8" ht="63.75">
      <c r="B363" s="175" t="s">
        <v>2461</v>
      </c>
      <c r="C363" s="170" t="s">
        <v>600</v>
      </c>
      <c r="D363" s="3" t="s">
        <v>601</v>
      </c>
      <c r="E363" s="4" t="s">
        <v>37</v>
      </c>
      <c r="F363" s="5" t="s">
        <v>38</v>
      </c>
      <c r="G363" s="432">
        <f>69.22*1.2173</f>
        <v>84.261505999999997</v>
      </c>
      <c r="H363" s="8">
        <f t="shared" si="43"/>
        <v>84.26</v>
      </c>
    </row>
    <row r="364" spans="2:8" ht="25.5" customHeight="1">
      <c r="B364" s="175" t="s">
        <v>2462</v>
      </c>
      <c r="C364" s="170" t="s">
        <v>602</v>
      </c>
      <c r="D364" s="3" t="s">
        <v>603</v>
      </c>
      <c r="E364" s="4" t="s">
        <v>37</v>
      </c>
      <c r="F364" s="5" t="s">
        <v>367</v>
      </c>
      <c r="G364" s="5">
        <v>71.22</v>
      </c>
      <c r="H364" s="8">
        <f t="shared" si="43"/>
        <v>142.44</v>
      </c>
    </row>
    <row r="365" spans="2:8" s="134" customFormat="1" ht="15" customHeight="1">
      <c r="B365" s="169" t="s">
        <v>604</v>
      </c>
      <c r="C365" s="169"/>
      <c r="D365" s="187" t="s">
        <v>605</v>
      </c>
      <c r="E365" s="187"/>
      <c r="F365" s="187"/>
      <c r="G365" s="187"/>
      <c r="H365" s="190" t="s">
        <v>1154</v>
      </c>
    </row>
    <row r="366" spans="2:8" ht="25.5">
      <c r="B366" s="175" t="s">
        <v>2463</v>
      </c>
      <c r="C366" s="170" t="s">
        <v>2049</v>
      </c>
      <c r="D366" s="136" t="s">
        <v>606</v>
      </c>
      <c r="E366" s="4" t="s">
        <v>37</v>
      </c>
      <c r="F366" s="5" t="s">
        <v>607</v>
      </c>
      <c r="G366" s="5">
        <f>CPU!H927</f>
        <v>16.61201599631158</v>
      </c>
      <c r="H366" s="8">
        <f t="shared" ref="H366:H388" si="44">TRUNC(F366*G366,(2))</f>
        <v>2491.8000000000002</v>
      </c>
    </row>
    <row r="367" spans="2:8" ht="25.5">
      <c r="B367" s="175" t="s">
        <v>2464</v>
      </c>
      <c r="C367" s="170" t="s">
        <v>2050</v>
      </c>
      <c r="D367" s="136" t="s">
        <v>608</v>
      </c>
      <c r="E367" s="4" t="s">
        <v>37</v>
      </c>
      <c r="F367" s="5" t="s">
        <v>583</v>
      </c>
      <c r="G367" s="5">
        <f>CPU!H935</f>
        <v>7.0914957996835017</v>
      </c>
      <c r="H367" s="8">
        <f t="shared" si="44"/>
        <v>42.54</v>
      </c>
    </row>
    <row r="368" spans="2:8" ht="25.5">
      <c r="B368" s="175" t="s">
        <v>2465</v>
      </c>
      <c r="C368" s="170" t="s">
        <v>2051</v>
      </c>
      <c r="D368" s="136" t="s">
        <v>609</v>
      </c>
      <c r="E368" s="4" t="s">
        <v>37</v>
      </c>
      <c r="F368" s="5" t="s">
        <v>583</v>
      </c>
      <c r="G368" s="5">
        <f>CPU!H943</f>
        <v>10.001711799756542</v>
      </c>
      <c r="H368" s="8">
        <f t="shared" si="44"/>
        <v>60.01</v>
      </c>
    </row>
    <row r="369" spans="2:8" ht="25.5">
      <c r="B369" s="175" t="s">
        <v>2466</v>
      </c>
      <c r="C369" s="170" t="s">
        <v>2052</v>
      </c>
      <c r="D369" s="136" t="s">
        <v>610</v>
      </c>
      <c r="E369" s="4" t="s">
        <v>37</v>
      </c>
      <c r="F369" s="5" t="s">
        <v>611</v>
      </c>
      <c r="G369" s="5">
        <f>CPU!H951</f>
        <v>14.486952001144264</v>
      </c>
      <c r="H369" s="8">
        <f t="shared" si="44"/>
        <v>115.89</v>
      </c>
    </row>
    <row r="370" spans="2:8" ht="39" customHeight="1">
      <c r="B370" s="175" t="s">
        <v>2467</v>
      </c>
      <c r="C370" s="170" t="s">
        <v>612</v>
      </c>
      <c r="D370" s="3" t="s">
        <v>613</v>
      </c>
      <c r="E370" s="4" t="s">
        <v>37</v>
      </c>
      <c r="F370" s="5" t="s">
        <v>614</v>
      </c>
      <c r="G370" s="5">
        <v>13.41</v>
      </c>
      <c r="H370" s="8">
        <f t="shared" si="44"/>
        <v>281.61</v>
      </c>
    </row>
    <row r="371" spans="2:8" ht="38.25">
      <c r="B371" s="175" t="s">
        <v>2468</v>
      </c>
      <c r="C371" s="170" t="s">
        <v>615</v>
      </c>
      <c r="D371" s="3" t="s">
        <v>616</v>
      </c>
      <c r="E371" s="4" t="s">
        <v>37</v>
      </c>
      <c r="F371" s="5" t="s">
        <v>617</v>
      </c>
      <c r="G371" s="5">
        <v>9.26</v>
      </c>
      <c r="H371" s="8">
        <f t="shared" si="44"/>
        <v>740.8</v>
      </c>
    </row>
    <row r="372" spans="2:8" ht="38.25">
      <c r="B372" s="175" t="s">
        <v>2469</v>
      </c>
      <c r="C372" s="170" t="s">
        <v>618</v>
      </c>
      <c r="D372" s="3" t="s">
        <v>619</v>
      </c>
      <c r="E372" s="4" t="s">
        <v>37</v>
      </c>
      <c r="F372" s="5" t="s">
        <v>620</v>
      </c>
      <c r="G372" s="5">
        <v>20.51</v>
      </c>
      <c r="H372" s="8">
        <f t="shared" si="44"/>
        <v>1025.5</v>
      </c>
    </row>
    <row r="373" spans="2:8" ht="27.75" customHeight="1">
      <c r="B373" s="175" t="s">
        <v>2470</v>
      </c>
      <c r="C373" s="170" t="s">
        <v>621</v>
      </c>
      <c r="D373" s="3" t="s">
        <v>622</v>
      </c>
      <c r="E373" s="4" t="s">
        <v>15</v>
      </c>
      <c r="F373" s="5" t="s">
        <v>623</v>
      </c>
      <c r="G373" s="5">
        <v>6.23</v>
      </c>
      <c r="H373" s="8">
        <f t="shared" si="44"/>
        <v>3040.24</v>
      </c>
    </row>
    <row r="374" spans="2:8" ht="27.75" customHeight="1">
      <c r="B374" s="175" t="s">
        <v>2471</v>
      </c>
      <c r="C374" s="170" t="s">
        <v>624</v>
      </c>
      <c r="D374" s="3" t="s">
        <v>625</v>
      </c>
      <c r="E374" s="4" t="s">
        <v>15</v>
      </c>
      <c r="F374" s="5" t="s">
        <v>34</v>
      </c>
      <c r="G374" s="5">
        <v>6.43</v>
      </c>
      <c r="H374" s="8">
        <f t="shared" si="44"/>
        <v>115.74</v>
      </c>
    </row>
    <row r="375" spans="2:8" ht="25.5" customHeight="1">
      <c r="B375" s="175" t="s">
        <v>2472</v>
      </c>
      <c r="C375" s="170" t="s">
        <v>626</v>
      </c>
      <c r="D375" s="3" t="s">
        <v>627</v>
      </c>
      <c r="E375" s="4" t="s">
        <v>15</v>
      </c>
      <c r="F375" s="5" t="s">
        <v>628</v>
      </c>
      <c r="G375" s="5">
        <v>34.01</v>
      </c>
      <c r="H375" s="8">
        <f t="shared" si="44"/>
        <v>9250.7199999999993</v>
      </c>
    </row>
    <row r="376" spans="2:8" ht="27" customHeight="1">
      <c r="B376" s="175" t="s">
        <v>2473</v>
      </c>
      <c r="C376" s="170" t="s">
        <v>629</v>
      </c>
      <c r="D376" s="3" t="s">
        <v>630</v>
      </c>
      <c r="E376" s="4" t="s">
        <v>15</v>
      </c>
      <c r="F376" s="5" t="s">
        <v>631</v>
      </c>
      <c r="G376" s="5">
        <v>19.690000000000001</v>
      </c>
      <c r="H376" s="8">
        <f t="shared" si="44"/>
        <v>2303.73</v>
      </c>
    </row>
    <row r="377" spans="2:8" ht="27" customHeight="1">
      <c r="B377" s="175" t="s">
        <v>2474</v>
      </c>
      <c r="C377" s="170" t="s">
        <v>632</v>
      </c>
      <c r="D377" s="3" t="s">
        <v>633</v>
      </c>
      <c r="E377" s="4" t="s">
        <v>15</v>
      </c>
      <c r="F377" s="5" t="s">
        <v>289</v>
      </c>
      <c r="G377" s="5">
        <v>77.27</v>
      </c>
      <c r="H377" s="8">
        <f t="shared" si="44"/>
        <v>1699.94</v>
      </c>
    </row>
    <row r="378" spans="2:8" ht="38.25">
      <c r="B378" s="175" t="s">
        <v>2475</v>
      </c>
      <c r="C378" s="170" t="s">
        <v>634</v>
      </c>
      <c r="D378" s="3" t="s">
        <v>635</v>
      </c>
      <c r="E378" s="4" t="s">
        <v>37</v>
      </c>
      <c r="F378" s="5" t="s">
        <v>607</v>
      </c>
      <c r="G378" s="5">
        <v>8.06</v>
      </c>
      <c r="H378" s="8">
        <f t="shared" si="44"/>
        <v>1209</v>
      </c>
    </row>
    <row r="379" spans="2:8" ht="38.25">
      <c r="B379" s="175" t="s">
        <v>2476</v>
      </c>
      <c r="C379" s="170" t="s">
        <v>636</v>
      </c>
      <c r="D379" s="3" t="s">
        <v>637</v>
      </c>
      <c r="E379" s="4" t="s">
        <v>37</v>
      </c>
      <c r="F379" s="5" t="s">
        <v>14</v>
      </c>
      <c r="G379" s="5">
        <v>13.44</v>
      </c>
      <c r="H379" s="8">
        <f t="shared" si="44"/>
        <v>134.4</v>
      </c>
    </row>
    <row r="380" spans="2:8" ht="38.25">
      <c r="B380" s="175" t="s">
        <v>2477</v>
      </c>
      <c r="C380" s="170" t="s">
        <v>638</v>
      </c>
      <c r="D380" s="3" t="s">
        <v>639</v>
      </c>
      <c r="E380" s="4" t="s">
        <v>37</v>
      </c>
      <c r="F380" s="5" t="s">
        <v>14</v>
      </c>
      <c r="G380" s="5">
        <v>14.12</v>
      </c>
      <c r="H380" s="8">
        <f t="shared" si="44"/>
        <v>141.19999999999999</v>
      </c>
    </row>
    <row r="381" spans="2:8" ht="38.25">
      <c r="B381" s="175" t="s">
        <v>2478</v>
      </c>
      <c r="C381" s="170" t="s">
        <v>640</v>
      </c>
      <c r="D381" s="3" t="s">
        <v>641</v>
      </c>
      <c r="E381" s="4" t="s">
        <v>37</v>
      </c>
      <c r="F381" s="5" t="s">
        <v>14</v>
      </c>
      <c r="G381" s="5">
        <v>21.56</v>
      </c>
      <c r="H381" s="8">
        <f t="shared" si="44"/>
        <v>215.6</v>
      </c>
    </row>
    <row r="382" spans="2:8" ht="38.25">
      <c r="B382" s="175" t="s">
        <v>2479</v>
      </c>
      <c r="C382" s="170" t="s">
        <v>642</v>
      </c>
      <c r="D382" s="3" t="s">
        <v>643</v>
      </c>
      <c r="E382" s="4" t="s">
        <v>37</v>
      </c>
      <c r="F382" s="5" t="s">
        <v>14</v>
      </c>
      <c r="G382" s="5">
        <v>18.03</v>
      </c>
      <c r="H382" s="8">
        <f t="shared" si="44"/>
        <v>180.3</v>
      </c>
    </row>
    <row r="383" spans="2:8" ht="38.25">
      <c r="B383" s="175" t="s">
        <v>2480</v>
      </c>
      <c r="C383" s="170" t="s">
        <v>644</v>
      </c>
      <c r="D383" s="3" t="s">
        <v>645</v>
      </c>
      <c r="E383" s="4" t="s">
        <v>37</v>
      </c>
      <c r="F383" s="5" t="s">
        <v>516</v>
      </c>
      <c r="G383" s="5">
        <v>24.86</v>
      </c>
      <c r="H383" s="8">
        <f t="shared" si="44"/>
        <v>497.2</v>
      </c>
    </row>
    <row r="384" spans="2:8" ht="38.25">
      <c r="B384" s="175" t="s">
        <v>2481</v>
      </c>
      <c r="C384" s="170" t="s">
        <v>647</v>
      </c>
      <c r="D384" s="3" t="s">
        <v>648</v>
      </c>
      <c r="E384" s="4" t="s">
        <v>37</v>
      </c>
      <c r="F384" s="5" t="s">
        <v>588</v>
      </c>
      <c r="G384" s="5">
        <v>52.79</v>
      </c>
      <c r="H384" s="8">
        <f t="shared" si="44"/>
        <v>263.95</v>
      </c>
    </row>
    <row r="385" spans="2:8" ht="51">
      <c r="B385" s="175" t="s">
        <v>2482</v>
      </c>
      <c r="C385" s="170" t="s">
        <v>649</v>
      </c>
      <c r="D385" s="3" t="s">
        <v>650</v>
      </c>
      <c r="E385" s="4" t="s">
        <v>37</v>
      </c>
      <c r="F385" s="5" t="s">
        <v>651</v>
      </c>
      <c r="G385" s="5">
        <v>11.35</v>
      </c>
      <c r="H385" s="8">
        <f t="shared" si="44"/>
        <v>1362</v>
      </c>
    </row>
    <row r="386" spans="2:8" ht="51">
      <c r="B386" s="175" t="s">
        <v>2483</v>
      </c>
      <c r="C386" s="170" t="s">
        <v>652</v>
      </c>
      <c r="D386" s="3" t="s">
        <v>653</v>
      </c>
      <c r="E386" s="4" t="s">
        <v>37</v>
      </c>
      <c r="F386" s="5" t="s">
        <v>593</v>
      </c>
      <c r="G386" s="5">
        <v>26.51</v>
      </c>
      <c r="H386" s="8">
        <f t="shared" si="44"/>
        <v>185.57</v>
      </c>
    </row>
    <row r="387" spans="2:8" ht="51">
      <c r="B387" s="175" t="s">
        <v>2484</v>
      </c>
      <c r="C387" s="170" t="s">
        <v>654</v>
      </c>
      <c r="D387" s="3" t="s">
        <v>655</v>
      </c>
      <c r="E387" s="4" t="s">
        <v>37</v>
      </c>
      <c r="F387" s="5" t="s">
        <v>611</v>
      </c>
      <c r="G387" s="5">
        <v>27.02</v>
      </c>
      <c r="H387" s="8">
        <f t="shared" si="44"/>
        <v>216.16</v>
      </c>
    </row>
    <row r="388" spans="2:8" ht="51">
      <c r="B388" s="175" t="s">
        <v>2485</v>
      </c>
      <c r="C388" s="170" t="s">
        <v>656</v>
      </c>
      <c r="D388" s="3" t="s">
        <v>657</v>
      </c>
      <c r="E388" s="4" t="s">
        <v>37</v>
      </c>
      <c r="F388" s="5" t="s">
        <v>358</v>
      </c>
      <c r="G388" s="5">
        <v>65.5</v>
      </c>
      <c r="H388" s="8">
        <f t="shared" si="44"/>
        <v>196.5</v>
      </c>
    </row>
    <row r="389" spans="2:8" ht="15" customHeight="1">
      <c r="B389" s="175"/>
      <c r="C389" s="170"/>
      <c r="D389" s="193" t="s">
        <v>1184</v>
      </c>
      <c r="E389" s="194"/>
      <c r="F389" s="195"/>
      <c r="G389" s="195"/>
      <c r="H389" s="196">
        <f>SUM(H352:H388)</f>
        <v>34363.19</v>
      </c>
    </row>
    <row r="390" spans="2:8" ht="15" customHeight="1">
      <c r="B390" s="169" t="s">
        <v>658</v>
      </c>
      <c r="C390" s="169"/>
      <c r="D390" s="187" t="s">
        <v>659</v>
      </c>
      <c r="E390" s="200"/>
      <c r="F390" s="200"/>
      <c r="G390" s="200"/>
      <c r="H390" s="201" t="s">
        <v>1154</v>
      </c>
    </row>
    <row r="391" spans="2:8" ht="25.5">
      <c r="B391" s="175" t="s">
        <v>2486</v>
      </c>
      <c r="C391" s="170" t="s">
        <v>660</v>
      </c>
      <c r="D391" s="3" t="s">
        <v>1887</v>
      </c>
      <c r="E391" s="4" t="s">
        <v>37</v>
      </c>
      <c r="F391" s="5" t="s">
        <v>661</v>
      </c>
      <c r="G391" s="5">
        <v>244.5</v>
      </c>
      <c r="H391" s="8">
        <f t="shared" ref="H391:H407" si="45">TRUNC(F391*G391,(2))</f>
        <v>11491.5</v>
      </c>
    </row>
    <row r="392" spans="2:8" ht="25.5">
      <c r="B392" s="175" t="s">
        <v>2487</v>
      </c>
      <c r="C392" s="170" t="s">
        <v>2828</v>
      </c>
      <c r="D392" s="3" t="s">
        <v>1857</v>
      </c>
      <c r="E392" s="4" t="s">
        <v>37</v>
      </c>
      <c r="F392" s="5" t="s">
        <v>38</v>
      </c>
      <c r="G392" s="432">
        <v>1039.5</v>
      </c>
      <c r="H392" s="8">
        <f t="shared" si="45"/>
        <v>1039.5</v>
      </c>
    </row>
    <row r="393" spans="2:8" ht="38.25">
      <c r="B393" s="175" t="s">
        <v>2488</v>
      </c>
      <c r="C393" s="170" t="s">
        <v>662</v>
      </c>
      <c r="D393" s="3" t="s">
        <v>1858</v>
      </c>
      <c r="E393" s="4" t="s">
        <v>663</v>
      </c>
      <c r="F393" s="5" t="s">
        <v>14</v>
      </c>
      <c r="G393" s="432">
        <f>359.38*1.2173</f>
        <v>437.473274</v>
      </c>
      <c r="H393" s="8">
        <f t="shared" si="45"/>
        <v>4374.7299999999996</v>
      </c>
    </row>
    <row r="394" spans="2:8" ht="51">
      <c r="B394" s="175" t="s">
        <v>2489</v>
      </c>
      <c r="C394" s="170" t="s">
        <v>2829</v>
      </c>
      <c r="D394" s="3" t="s">
        <v>664</v>
      </c>
      <c r="E394" s="4" t="s">
        <v>37</v>
      </c>
      <c r="F394" s="5" t="s">
        <v>43</v>
      </c>
      <c r="G394" s="5">
        <v>101.52</v>
      </c>
      <c r="H394" s="8">
        <f t="shared" si="45"/>
        <v>3248.64</v>
      </c>
    </row>
    <row r="395" spans="2:8" ht="25.5">
      <c r="B395" s="175" t="s">
        <v>2490</v>
      </c>
      <c r="C395" s="170" t="s">
        <v>2830</v>
      </c>
      <c r="D395" s="136" t="s">
        <v>2214</v>
      </c>
      <c r="E395" s="4" t="s">
        <v>37</v>
      </c>
      <c r="F395" s="5" t="s">
        <v>575</v>
      </c>
      <c r="G395" s="5">
        <v>249.25</v>
      </c>
      <c r="H395" s="8">
        <f t="shared" si="45"/>
        <v>2243.25</v>
      </c>
    </row>
    <row r="396" spans="2:8" ht="38.25">
      <c r="B396" s="175" t="s">
        <v>2491</v>
      </c>
      <c r="C396" s="170" t="s">
        <v>2191</v>
      </c>
      <c r="D396" s="3" t="s">
        <v>665</v>
      </c>
      <c r="E396" s="4" t="s">
        <v>37</v>
      </c>
      <c r="F396" s="5" t="s">
        <v>575</v>
      </c>
      <c r="G396" s="5">
        <f>CPU!H969</f>
        <v>2732.1831991577201</v>
      </c>
      <c r="H396" s="8">
        <f t="shared" si="45"/>
        <v>24589.64</v>
      </c>
    </row>
    <row r="397" spans="2:8" ht="51" customHeight="1">
      <c r="B397" s="175" t="s">
        <v>2492</v>
      </c>
      <c r="C397" s="170" t="s">
        <v>2192</v>
      </c>
      <c r="D397" s="3" t="s">
        <v>666</v>
      </c>
      <c r="E397" s="4" t="s">
        <v>37</v>
      </c>
      <c r="F397" s="5" t="s">
        <v>667</v>
      </c>
      <c r="G397" s="5">
        <f>CPU!H979</f>
        <v>642.20159616996</v>
      </c>
      <c r="H397" s="8">
        <f t="shared" si="45"/>
        <v>8348.6200000000008</v>
      </c>
    </row>
    <row r="398" spans="2:8" ht="38.25">
      <c r="B398" s="175" t="s">
        <v>2493</v>
      </c>
      <c r="C398" s="170" t="s">
        <v>668</v>
      </c>
      <c r="D398" s="3" t="s">
        <v>669</v>
      </c>
      <c r="E398" s="4" t="s">
        <v>37</v>
      </c>
      <c r="F398" s="5" t="s">
        <v>289</v>
      </c>
      <c r="G398" s="5">
        <v>102.06</v>
      </c>
      <c r="H398" s="8">
        <f t="shared" si="45"/>
        <v>2245.3200000000002</v>
      </c>
    </row>
    <row r="399" spans="2:8" ht="63.75">
      <c r="B399" s="175" t="s">
        <v>2494</v>
      </c>
      <c r="C399" s="170" t="s">
        <v>670</v>
      </c>
      <c r="D399" s="3" t="s">
        <v>671</v>
      </c>
      <c r="E399" s="4" t="s">
        <v>37</v>
      </c>
      <c r="F399" s="5" t="s">
        <v>38</v>
      </c>
      <c r="G399" s="5">
        <v>757.17</v>
      </c>
      <c r="H399" s="8">
        <f t="shared" si="45"/>
        <v>757.17</v>
      </c>
    </row>
    <row r="400" spans="2:8" ht="51">
      <c r="B400" s="175" t="s">
        <v>2495</v>
      </c>
      <c r="C400" s="170" t="s">
        <v>672</v>
      </c>
      <c r="D400" s="3" t="s">
        <v>673</v>
      </c>
      <c r="E400" s="4" t="s">
        <v>37</v>
      </c>
      <c r="F400" s="5" t="s">
        <v>674</v>
      </c>
      <c r="G400" s="5">
        <v>505.05</v>
      </c>
      <c r="H400" s="8">
        <f t="shared" si="45"/>
        <v>22727.25</v>
      </c>
    </row>
    <row r="401" spans="2:8" ht="51">
      <c r="B401" s="175" t="s">
        <v>2496</v>
      </c>
      <c r="C401" s="170" t="s">
        <v>675</v>
      </c>
      <c r="D401" s="3" t="s">
        <v>676</v>
      </c>
      <c r="E401" s="4" t="s">
        <v>37</v>
      </c>
      <c r="F401" s="5">
        <v>14</v>
      </c>
      <c r="G401" s="5">
        <v>374.79</v>
      </c>
      <c r="H401" s="8">
        <f t="shared" si="45"/>
        <v>5247.06</v>
      </c>
    </row>
    <row r="402" spans="2:8" ht="51">
      <c r="B402" s="175" t="s">
        <v>2497</v>
      </c>
      <c r="C402" s="170" t="s">
        <v>677</v>
      </c>
      <c r="D402" s="3" t="s">
        <v>678</v>
      </c>
      <c r="E402" s="4" t="s">
        <v>37</v>
      </c>
      <c r="F402" s="5" t="s">
        <v>28</v>
      </c>
      <c r="G402" s="5">
        <v>338.78</v>
      </c>
      <c r="H402" s="8">
        <f t="shared" si="45"/>
        <v>14906.32</v>
      </c>
    </row>
    <row r="403" spans="2:8" ht="63.75">
      <c r="B403" s="175" t="s">
        <v>2498</v>
      </c>
      <c r="C403" s="170" t="s">
        <v>679</v>
      </c>
      <c r="D403" s="3" t="s">
        <v>680</v>
      </c>
      <c r="E403" s="4" t="s">
        <v>37</v>
      </c>
      <c r="F403" s="5" t="s">
        <v>358</v>
      </c>
      <c r="G403" s="5">
        <v>242.73</v>
      </c>
      <c r="H403" s="8">
        <f t="shared" si="45"/>
        <v>728.19</v>
      </c>
    </row>
    <row r="404" spans="2:8" ht="38.25">
      <c r="B404" s="175" t="s">
        <v>2499</v>
      </c>
      <c r="C404" s="170" t="s">
        <v>681</v>
      </c>
      <c r="D404" s="3" t="s">
        <v>682</v>
      </c>
      <c r="E404" s="4" t="s">
        <v>37</v>
      </c>
      <c r="F404" s="5" t="s">
        <v>683</v>
      </c>
      <c r="G404" s="5">
        <v>105.25</v>
      </c>
      <c r="H404" s="8">
        <f t="shared" si="45"/>
        <v>3157.5</v>
      </c>
    </row>
    <row r="405" spans="2:8" ht="51">
      <c r="B405" s="175" t="s">
        <v>2500</v>
      </c>
      <c r="C405" s="170" t="s">
        <v>684</v>
      </c>
      <c r="D405" s="3" t="s">
        <v>685</v>
      </c>
      <c r="E405" s="4" t="s">
        <v>37</v>
      </c>
      <c r="F405" s="5" t="s">
        <v>575</v>
      </c>
      <c r="G405" s="5">
        <v>735.84</v>
      </c>
      <c r="H405" s="8">
        <f t="shared" si="45"/>
        <v>6622.56</v>
      </c>
    </row>
    <row r="406" spans="2:8" ht="25.5">
      <c r="B406" s="175" t="s">
        <v>2501</v>
      </c>
      <c r="C406" s="170" t="s">
        <v>686</v>
      </c>
      <c r="D406" s="3" t="s">
        <v>687</v>
      </c>
      <c r="E406" s="4" t="s">
        <v>37</v>
      </c>
      <c r="F406" s="5" t="s">
        <v>688</v>
      </c>
      <c r="G406" s="5">
        <v>59.53</v>
      </c>
      <c r="H406" s="8">
        <f t="shared" si="45"/>
        <v>3214.62</v>
      </c>
    </row>
    <row r="407" spans="2:8" ht="38.25">
      <c r="B407" s="175" t="s">
        <v>2502</v>
      </c>
      <c r="C407" s="170" t="s">
        <v>689</v>
      </c>
      <c r="D407" s="3" t="s">
        <v>690</v>
      </c>
      <c r="E407" s="4" t="s">
        <v>37</v>
      </c>
      <c r="F407" s="5" t="s">
        <v>43</v>
      </c>
      <c r="G407" s="5">
        <v>49.01</v>
      </c>
      <c r="H407" s="8">
        <f t="shared" si="45"/>
        <v>1568.32</v>
      </c>
    </row>
    <row r="408" spans="2:8" s="134" customFormat="1" ht="15" customHeight="1">
      <c r="B408" s="169" t="s">
        <v>691</v>
      </c>
      <c r="C408" s="169"/>
      <c r="D408" s="187" t="s">
        <v>692</v>
      </c>
      <c r="E408" s="187"/>
      <c r="F408" s="187"/>
      <c r="G408" s="187"/>
      <c r="H408" s="190" t="s">
        <v>1154</v>
      </c>
    </row>
    <row r="409" spans="2:8" ht="25.5" customHeight="1">
      <c r="B409" s="175" t="s">
        <v>2503</v>
      </c>
      <c r="C409" s="170" t="s">
        <v>2193</v>
      </c>
      <c r="D409" s="136" t="s">
        <v>693</v>
      </c>
      <c r="E409" s="4" t="s">
        <v>37</v>
      </c>
      <c r="F409" s="5" t="s">
        <v>367</v>
      </c>
      <c r="G409" s="5">
        <f>CPU!H985</f>
        <v>2192.3537922700098</v>
      </c>
      <c r="H409" s="8">
        <f t="shared" ref="H409:H410" si="46">TRUNC(F409*G409,(2))</f>
        <v>4384.7</v>
      </c>
    </row>
    <row r="410" spans="2:8" ht="15.75" customHeight="1">
      <c r="B410" s="175" t="s">
        <v>2504</v>
      </c>
      <c r="C410" s="170" t="s">
        <v>2215</v>
      </c>
      <c r="D410" s="136" t="s">
        <v>694</v>
      </c>
      <c r="E410" s="4" t="s">
        <v>37</v>
      </c>
      <c r="F410" s="5" t="s">
        <v>367</v>
      </c>
      <c r="G410" s="5">
        <v>85.13</v>
      </c>
      <c r="H410" s="8">
        <f t="shared" si="46"/>
        <v>170.26</v>
      </c>
    </row>
    <row r="411" spans="2:8" ht="15" customHeight="1">
      <c r="B411" s="175"/>
      <c r="C411" s="170"/>
      <c r="D411" s="193" t="s">
        <v>1185</v>
      </c>
      <c r="E411" s="194"/>
      <c r="F411" s="195"/>
      <c r="G411" s="195"/>
      <c r="H411" s="196">
        <f>SUM(H391:H410)</f>
        <v>121065.15</v>
      </c>
    </row>
    <row r="412" spans="2:8" s="134" customFormat="1" ht="15" customHeight="1">
      <c r="B412" s="163" t="s">
        <v>695</v>
      </c>
      <c r="C412" s="163"/>
      <c r="D412" s="164" t="s">
        <v>696</v>
      </c>
      <c r="E412" s="164"/>
      <c r="F412" s="164"/>
      <c r="G412" s="164"/>
      <c r="H412" s="198" t="s">
        <v>1154</v>
      </c>
    </row>
    <row r="413" spans="2:8" s="134" customFormat="1" ht="15" customHeight="1">
      <c r="B413" s="169" t="s">
        <v>697</v>
      </c>
      <c r="C413" s="169"/>
      <c r="D413" s="187" t="s">
        <v>698</v>
      </c>
      <c r="E413" s="187"/>
      <c r="F413" s="187"/>
      <c r="G413" s="187"/>
      <c r="H413" s="190" t="s">
        <v>1154</v>
      </c>
    </row>
    <row r="414" spans="2:8" ht="38.25">
      <c r="B414" s="175" t="s">
        <v>2505</v>
      </c>
      <c r="C414" s="170" t="s">
        <v>2194</v>
      </c>
      <c r="D414" s="3" t="s">
        <v>699</v>
      </c>
      <c r="E414" s="4" t="s">
        <v>24</v>
      </c>
      <c r="F414" s="5" t="s">
        <v>700</v>
      </c>
      <c r="G414" s="5">
        <f>CPU!H993</f>
        <v>22.484903649589999</v>
      </c>
      <c r="H414" s="8">
        <f t="shared" ref="H414:H420" si="47">TRUNC(F414*G414,(2))</f>
        <v>1641.39</v>
      </c>
    </row>
    <row r="415" spans="2:8" ht="25.5" customHeight="1">
      <c r="B415" s="175" t="s">
        <v>2506</v>
      </c>
      <c r="C415" s="170" t="s">
        <v>2063</v>
      </c>
      <c r="D415" s="136" t="s">
        <v>701</v>
      </c>
      <c r="E415" s="4" t="s">
        <v>37</v>
      </c>
      <c r="F415" s="5" t="s">
        <v>588</v>
      </c>
      <c r="G415" s="5">
        <f>CPU!H999</f>
        <v>41.120000000000005</v>
      </c>
      <c r="H415" s="8">
        <f t="shared" si="47"/>
        <v>205.6</v>
      </c>
    </row>
    <row r="416" spans="2:8" ht="25.5" customHeight="1">
      <c r="B416" s="175" t="s">
        <v>2507</v>
      </c>
      <c r="C416" s="170" t="s">
        <v>2064</v>
      </c>
      <c r="D416" s="136" t="s">
        <v>702</v>
      </c>
      <c r="E416" s="4" t="s">
        <v>37</v>
      </c>
      <c r="F416" s="5" t="s">
        <v>703</v>
      </c>
      <c r="G416" s="5">
        <f>CPU!H1005</f>
        <v>47.24</v>
      </c>
      <c r="H416" s="8">
        <f t="shared" si="47"/>
        <v>2928.88</v>
      </c>
    </row>
    <row r="417" spans="2:8" ht="38.25">
      <c r="B417" s="175" t="s">
        <v>2508</v>
      </c>
      <c r="C417" s="170" t="s">
        <v>2216</v>
      </c>
      <c r="D417" s="3" t="s">
        <v>2220</v>
      </c>
      <c r="E417" s="4" t="s">
        <v>15</v>
      </c>
      <c r="F417" s="5" t="s">
        <v>704</v>
      </c>
      <c r="G417" s="5">
        <v>47.62</v>
      </c>
      <c r="H417" s="8">
        <f t="shared" si="47"/>
        <v>10952.6</v>
      </c>
    </row>
    <row r="418" spans="2:8" ht="38.25">
      <c r="B418" s="175" t="s">
        <v>2509</v>
      </c>
      <c r="C418" s="170" t="s">
        <v>2217</v>
      </c>
      <c r="D418" s="3" t="s">
        <v>2221</v>
      </c>
      <c r="E418" s="4" t="s">
        <v>15</v>
      </c>
      <c r="F418" s="5" t="s">
        <v>705</v>
      </c>
      <c r="G418" s="5">
        <v>99.54</v>
      </c>
      <c r="H418" s="8">
        <f t="shared" si="47"/>
        <v>29961.54</v>
      </c>
    </row>
    <row r="419" spans="2:8" ht="38.25">
      <c r="B419" s="175" t="s">
        <v>2510</v>
      </c>
      <c r="C419" s="170" t="s">
        <v>2218</v>
      </c>
      <c r="D419" s="3" t="s">
        <v>2222</v>
      </c>
      <c r="E419" s="4" t="s">
        <v>15</v>
      </c>
      <c r="F419" s="5" t="s">
        <v>706</v>
      </c>
      <c r="G419" s="5">
        <v>148.06</v>
      </c>
      <c r="H419" s="8">
        <f t="shared" si="47"/>
        <v>6070.46</v>
      </c>
    </row>
    <row r="420" spans="2:8" ht="38.25">
      <c r="B420" s="175" t="s">
        <v>2511</v>
      </c>
      <c r="C420" s="170" t="s">
        <v>2219</v>
      </c>
      <c r="D420" s="3" t="s">
        <v>2223</v>
      </c>
      <c r="E420" s="4" t="s">
        <v>15</v>
      </c>
      <c r="F420" s="5" t="s">
        <v>707</v>
      </c>
      <c r="G420" s="5">
        <v>249.91</v>
      </c>
      <c r="H420" s="8">
        <f t="shared" si="47"/>
        <v>51481.46</v>
      </c>
    </row>
    <row r="421" spans="2:8" s="134" customFormat="1" ht="15" customHeight="1">
      <c r="B421" s="169" t="s">
        <v>708</v>
      </c>
      <c r="C421" s="169"/>
      <c r="D421" s="187" t="s">
        <v>709</v>
      </c>
      <c r="E421" s="187"/>
      <c r="F421" s="187"/>
      <c r="G421" s="187"/>
      <c r="H421" s="190" t="s">
        <v>1154</v>
      </c>
    </row>
    <row r="422" spans="2:8" ht="51">
      <c r="B422" s="175" t="s">
        <v>2512</v>
      </c>
      <c r="C422" s="170" t="s">
        <v>710</v>
      </c>
      <c r="D422" s="3" t="s">
        <v>711</v>
      </c>
      <c r="E422" s="4" t="s">
        <v>37</v>
      </c>
      <c r="F422" s="5" t="s">
        <v>712</v>
      </c>
      <c r="G422" s="5">
        <v>437.18</v>
      </c>
      <c r="H422" s="8">
        <f t="shared" ref="H422:H423" si="48">TRUNC(F422*G422,(2))</f>
        <v>8306.42</v>
      </c>
    </row>
    <row r="423" spans="2:8" ht="51">
      <c r="B423" s="175" t="s">
        <v>2513</v>
      </c>
      <c r="C423" s="170" t="s">
        <v>713</v>
      </c>
      <c r="D423" s="3" t="s">
        <v>714</v>
      </c>
      <c r="E423" s="4" t="s">
        <v>37</v>
      </c>
      <c r="F423" s="5" t="s">
        <v>715</v>
      </c>
      <c r="G423" s="5">
        <v>739.93</v>
      </c>
      <c r="H423" s="8">
        <f t="shared" si="48"/>
        <v>8139.23</v>
      </c>
    </row>
    <row r="424" spans="2:8" s="134" customFormat="1" ht="15" customHeight="1">
      <c r="B424" s="169" t="s">
        <v>716</v>
      </c>
      <c r="C424" s="169"/>
      <c r="D424" s="187" t="s">
        <v>717</v>
      </c>
      <c r="E424" s="187"/>
      <c r="F424" s="187"/>
      <c r="G424" s="187"/>
      <c r="H424" s="190" t="s">
        <v>1154</v>
      </c>
    </row>
    <row r="425" spans="2:8" ht="26.25" customHeight="1">
      <c r="B425" s="175" t="s">
        <v>2514</v>
      </c>
      <c r="C425" s="170" t="s">
        <v>718</v>
      </c>
      <c r="D425" s="3" t="s">
        <v>719</v>
      </c>
      <c r="E425" s="4" t="s">
        <v>75</v>
      </c>
      <c r="F425" s="5" t="s">
        <v>720</v>
      </c>
      <c r="G425" s="5">
        <v>76.7</v>
      </c>
      <c r="H425" s="8">
        <f t="shared" ref="H425:H426" si="49">TRUNC(F425*G425,(2))</f>
        <v>17487.599999999999</v>
      </c>
    </row>
    <row r="426" spans="2:8" ht="25.5">
      <c r="B426" s="175" t="s">
        <v>2515</v>
      </c>
      <c r="C426" s="170" t="s">
        <v>133</v>
      </c>
      <c r="D426" s="136" t="s">
        <v>134</v>
      </c>
      <c r="E426" s="4" t="s">
        <v>75</v>
      </c>
      <c r="F426" s="5" t="s">
        <v>721</v>
      </c>
      <c r="G426" s="5">
        <v>46.5</v>
      </c>
      <c r="H426" s="8">
        <f t="shared" si="49"/>
        <v>9765</v>
      </c>
    </row>
    <row r="427" spans="2:8" ht="24.95" customHeight="1">
      <c r="B427" s="169" t="s">
        <v>2516</v>
      </c>
      <c r="C427" s="169"/>
      <c r="D427" s="200" t="s">
        <v>2724</v>
      </c>
      <c r="E427" s="206"/>
      <c r="F427" s="207"/>
      <c r="G427" s="207"/>
      <c r="H427" s="201"/>
    </row>
    <row r="428" spans="2:8" ht="25.5">
      <c r="B428" s="175" t="s">
        <v>2517</v>
      </c>
      <c r="C428" s="170" t="s">
        <v>2065</v>
      </c>
      <c r="D428" s="140" t="s">
        <v>1890</v>
      </c>
      <c r="E428" s="4" t="s">
        <v>15</v>
      </c>
      <c r="F428" s="5">
        <v>185.14</v>
      </c>
      <c r="G428" s="5">
        <f>CPU!H1014</f>
        <v>204.88367600000004</v>
      </c>
      <c r="H428" s="8">
        <f t="shared" ref="H428:H433" si="50">TRUNC(F428*G428,(2))</f>
        <v>37932.160000000003</v>
      </c>
    </row>
    <row r="429" spans="2:8" ht="25.5">
      <c r="B429" s="175" t="s">
        <v>2518</v>
      </c>
      <c r="C429" s="170" t="s">
        <v>2066</v>
      </c>
      <c r="D429" s="140" t="s">
        <v>1896</v>
      </c>
      <c r="E429" s="4" t="s">
        <v>663</v>
      </c>
      <c r="F429" s="5">
        <v>1</v>
      </c>
      <c r="G429" s="5">
        <f>CPU!H1039</f>
        <v>208395.16085357728</v>
      </c>
      <c r="H429" s="8">
        <f t="shared" si="50"/>
        <v>208395.16</v>
      </c>
    </row>
    <row r="430" spans="2:8" ht="25.5">
      <c r="B430" s="175" t="s">
        <v>2519</v>
      </c>
      <c r="C430" s="170" t="s">
        <v>2071</v>
      </c>
      <c r="D430" s="140" t="s">
        <v>1905</v>
      </c>
      <c r="E430" s="4" t="s">
        <v>15</v>
      </c>
      <c r="F430" s="5">
        <v>198.35</v>
      </c>
      <c r="G430" s="5">
        <f>CPU!H1052</f>
        <v>466.62619530000006</v>
      </c>
      <c r="H430" s="8">
        <f t="shared" si="50"/>
        <v>92555.3</v>
      </c>
    </row>
    <row r="431" spans="2:8" ht="25.5">
      <c r="B431" s="175" t="s">
        <v>2520</v>
      </c>
      <c r="C431" s="170" t="s">
        <v>2072</v>
      </c>
      <c r="D431" s="140" t="s">
        <v>1909</v>
      </c>
      <c r="E431" s="4" t="s">
        <v>37</v>
      </c>
      <c r="F431" s="5">
        <v>21</v>
      </c>
      <c r="G431" s="5">
        <f>CPU!H1062</f>
        <v>1031.0926706</v>
      </c>
      <c r="H431" s="8">
        <f t="shared" si="50"/>
        <v>21652.94</v>
      </c>
    </row>
    <row r="432" spans="2:8" ht="25.5">
      <c r="B432" s="175" t="s">
        <v>2521</v>
      </c>
      <c r="C432" s="170" t="s">
        <v>2075</v>
      </c>
      <c r="D432" s="140" t="s">
        <v>1916</v>
      </c>
      <c r="E432" s="4" t="s">
        <v>15</v>
      </c>
      <c r="F432" s="5">
        <v>26.5</v>
      </c>
      <c r="G432" s="5">
        <f>CPU!H1073</f>
        <v>289.16329999999999</v>
      </c>
      <c r="H432" s="8">
        <f t="shared" si="50"/>
        <v>7662.82</v>
      </c>
    </row>
    <row r="433" spans="2:8" ht="51">
      <c r="B433" s="175" t="s">
        <v>2522</v>
      </c>
      <c r="C433" s="170" t="s">
        <v>2081</v>
      </c>
      <c r="D433" s="140" t="s">
        <v>1921</v>
      </c>
      <c r="E433" s="4" t="s">
        <v>15</v>
      </c>
      <c r="F433" s="5">
        <v>26.5</v>
      </c>
      <c r="G433" s="5">
        <f>CPU!H1080</f>
        <v>509.88438000000008</v>
      </c>
      <c r="H433" s="8">
        <f t="shared" si="50"/>
        <v>13511.93</v>
      </c>
    </row>
    <row r="434" spans="2:8" ht="15" customHeight="1">
      <c r="B434" s="175"/>
      <c r="C434" s="197"/>
      <c r="D434" s="193" t="s">
        <v>1186</v>
      </c>
      <c r="E434" s="194"/>
      <c r="F434" s="195"/>
      <c r="G434" s="195"/>
      <c r="H434" s="196">
        <f>SUM(H414:H433)</f>
        <v>528650.49</v>
      </c>
    </row>
    <row r="435" spans="2:8" s="134" customFormat="1" ht="15" customHeight="1">
      <c r="B435" s="163" t="s">
        <v>722</v>
      </c>
      <c r="C435" s="163"/>
      <c r="D435" s="164" t="s">
        <v>723</v>
      </c>
      <c r="E435" s="164"/>
      <c r="F435" s="164"/>
      <c r="G435" s="164"/>
      <c r="H435" s="198" t="s">
        <v>1154</v>
      </c>
    </row>
    <row r="436" spans="2:8" s="134" customFormat="1" ht="15" customHeight="1">
      <c r="B436" s="169" t="s">
        <v>724</v>
      </c>
      <c r="C436" s="169"/>
      <c r="D436" s="187" t="s">
        <v>698</v>
      </c>
      <c r="E436" s="187"/>
      <c r="F436" s="187"/>
      <c r="G436" s="187"/>
      <c r="H436" s="190" t="s">
        <v>1154</v>
      </c>
    </row>
    <row r="437" spans="2:8" ht="25.5">
      <c r="B437" s="175" t="s">
        <v>2523</v>
      </c>
      <c r="C437" s="170" t="s">
        <v>2082</v>
      </c>
      <c r="D437" s="3" t="s">
        <v>725</v>
      </c>
      <c r="E437" s="4" t="s">
        <v>37</v>
      </c>
      <c r="F437" s="5" t="s">
        <v>367</v>
      </c>
      <c r="G437" s="5">
        <f>CPU!H1088</f>
        <v>76.278033820852485</v>
      </c>
      <c r="H437" s="8">
        <f t="shared" ref="H437:H458" si="51">TRUNC(F437*G437,(2))</f>
        <v>152.55000000000001</v>
      </c>
    </row>
    <row r="438" spans="2:8" ht="25.5">
      <c r="B438" s="175" t="s">
        <v>2524</v>
      </c>
      <c r="C438" s="170" t="s">
        <v>2195</v>
      </c>
      <c r="D438" s="3" t="s">
        <v>726</v>
      </c>
      <c r="E438" s="4" t="s">
        <v>37</v>
      </c>
      <c r="F438" s="5" t="s">
        <v>611</v>
      </c>
      <c r="G438" s="5">
        <f>CPU!H1096</f>
        <v>18.816599999999998</v>
      </c>
      <c r="H438" s="8">
        <f t="shared" si="51"/>
        <v>150.53</v>
      </c>
    </row>
    <row r="439" spans="2:8" ht="38.25">
      <c r="B439" s="175" t="s">
        <v>2525</v>
      </c>
      <c r="C439" s="170" t="s">
        <v>727</v>
      </c>
      <c r="D439" s="3" t="s">
        <v>728</v>
      </c>
      <c r="E439" s="4" t="s">
        <v>37</v>
      </c>
      <c r="F439" s="5" t="s">
        <v>729</v>
      </c>
      <c r="G439" s="5">
        <v>16.82</v>
      </c>
      <c r="H439" s="8">
        <f t="shared" si="51"/>
        <v>1547.44</v>
      </c>
    </row>
    <row r="440" spans="2:8" ht="38.25">
      <c r="B440" s="175" t="s">
        <v>2526</v>
      </c>
      <c r="C440" s="170" t="s">
        <v>730</v>
      </c>
      <c r="D440" s="3" t="s">
        <v>731</v>
      </c>
      <c r="E440" s="4" t="s">
        <v>37</v>
      </c>
      <c r="F440" s="5" t="s">
        <v>732</v>
      </c>
      <c r="G440" s="5">
        <v>25</v>
      </c>
      <c r="H440" s="8">
        <f t="shared" si="51"/>
        <v>1150</v>
      </c>
    </row>
    <row r="441" spans="2:8" ht="38.25">
      <c r="B441" s="175" t="s">
        <v>2527</v>
      </c>
      <c r="C441" s="170" t="s">
        <v>733</v>
      </c>
      <c r="D441" s="3" t="s">
        <v>734</v>
      </c>
      <c r="E441" s="4" t="s">
        <v>37</v>
      </c>
      <c r="F441" s="5" t="s">
        <v>735</v>
      </c>
      <c r="G441" s="5">
        <v>35.5</v>
      </c>
      <c r="H441" s="8">
        <f t="shared" si="51"/>
        <v>3869.5</v>
      </c>
    </row>
    <row r="442" spans="2:8" ht="38.25">
      <c r="B442" s="175" t="s">
        <v>2528</v>
      </c>
      <c r="C442" s="170" t="s">
        <v>736</v>
      </c>
      <c r="D442" s="3" t="s">
        <v>737</v>
      </c>
      <c r="E442" s="4" t="s">
        <v>37</v>
      </c>
      <c r="F442" s="5" t="s">
        <v>14</v>
      </c>
      <c r="G442" s="5">
        <v>14.51</v>
      </c>
      <c r="H442" s="8">
        <f t="shared" si="51"/>
        <v>145.1</v>
      </c>
    </row>
    <row r="443" spans="2:8" ht="38.25" customHeight="1">
      <c r="B443" s="175" t="s">
        <v>2529</v>
      </c>
      <c r="C443" s="170" t="s">
        <v>738</v>
      </c>
      <c r="D443" s="3" t="s">
        <v>739</v>
      </c>
      <c r="E443" s="4" t="s">
        <v>37</v>
      </c>
      <c r="F443" s="5" t="s">
        <v>38</v>
      </c>
      <c r="G443" s="5">
        <v>63.88</v>
      </c>
      <c r="H443" s="8">
        <f t="shared" si="51"/>
        <v>63.88</v>
      </c>
    </row>
    <row r="444" spans="2:8" ht="39" customHeight="1">
      <c r="B444" s="175" t="s">
        <v>2530</v>
      </c>
      <c r="C444" s="170" t="s">
        <v>740</v>
      </c>
      <c r="D444" s="3" t="s">
        <v>741</v>
      </c>
      <c r="E444" s="4" t="s">
        <v>37</v>
      </c>
      <c r="F444" s="5" t="s">
        <v>742</v>
      </c>
      <c r="G444" s="5">
        <v>96.53</v>
      </c>
      <c r="H444" s="8">
        <f t="shared" si="51"/>
        <v>3668.14</v>
      </c>
    </row>
    <row r="445" spans="2:8" ht="37.5" customHeight="1">
      <c r="B445" s="175" t="s">
        <v>2531</v>
      </c>
      <c r="C445" s="170" t="s">
        <v>743</v>
      </c>
      <c r="D445" s="3" t="s">
        <v>744</v>
      </c>
      <c r="E445" s="4" t="s">
        <v>37</v>
      </c>
      <c r="F445" s="5" t="s">
        <v>358</v>
      </c>
      <c r="G445" s="5">
        <v>92.7</v>
      </c>
      <c r="H445" s="8">
        <f t="shared" si="51"/>
        <v>278.10000000000002</v>
      </c>
    </row>
    <row r="446" spans="2:8" ht="38.25">
      <c r="B446" s="175" t="s">
        <v>2532</v>
      </c>
      <c r="C446" s="170" t="s">
        <v>745</v>
      </c>
      <c r="D446" s="3" t="s">
        <v>746</v>
      </c>
      <c r="E446" s="4" t="s">
        <v>37</v>
      </c>
      <c r="F446" s="5" t="s">
        <v>614</v>
      </c>
      <c r="G446" s="5">
        <v>95.03</v>
      </c>
      <c r="H446" s="8">
        <f t="shared" si="51"/>
        <v>1995.63</v>
      </c>
    </row>
    <row r="447" spans="2:8" ht="38.25">
      <c r="B447" s="175" t="s">
        <v>2533</v>
      </c>
      <c r="C447" s="170" t="s">
        <v>747</v>
      </c>
      <c r="D447" s="3" t="s">
        <v>748</v>
      </c>
      <c r="E447" s="4" t="s">
        <v>15</v>
      </c>
      <c r="F447" s="5" t="s">
        <v>749</v>
      </c>
      <c r="G447" s="5">
        <v>20.27</v>
      </c>
      <c r="H447" s="8">
        <f t="shared" si="51"/>
        <v>3547.25</v>
      </c>
    </row>
    <row r="448" spans="2:8" ht="39" customHeight="1">
      <c r="B448" s="175" t="s">
        <v>2534</v>
      </c>
      <c r="C448" s="170" t="s">
        <v>750</v>
      </c>
      <c r="D448" s="3" t="s">
        <v>751</v>
      </c>
      <c r="E448" s="4" t="s">
        <v>15</v>
      </c>
      <c r="F448" s="5" t="s">
        <v>453</v>
      </c>
      <c r="G448" s="5">
        <v>26.25</v>
      </c>
      <c r="H448" s="8">
        <f t="shared" si="51"/>
        <v>11025</v>
      </c>
    </row>
    <row r="449" spans="2:8" ht="39" customHeight="1">
      <c r="B449" s="175" t="s">
        <v>2535</v>
      </c>
      <c r="C449" s="170" t="s">
        <v>752</v>
      </c>
      <c r="D449" s="3" t="s">
        <v>753</v>
      </c>
      <c r="E449" s="4" t="s">
        <v>15</v>
      </c>
      <c r="F449" s="5" t="s">
        <v>754</v>
      </c>
      <c r="G449" s="5">
        <v>34.36</v>
      </c>
      <c r="H449" s="8">
        <f t="shared" si="51"/>
        <v>5497.6</v>
      </c>
    </row>
    <row r="450" spans="2:8" ht="39.75" customHeight="1">
      <c r="B450" s="175" t="s">
        <v>2536</v>
      </c>
      <c r="C450" s="170" t="s">
        <v>755</v>
      </c>
      <c r="D450" s="3" t="s">
        <v>756</v>
      </c>
      <c r="E450" s="4" t="s">
        <v>15</v>
      </c>
      <c r="F450" s="5" t="s">
        <v>757</v>
      </c>
      <c r="G450" s="5">
        <v>39.42</v>
      </c>
      <c r="H450" s="8">
        <f t="shared" si="51"/>
        <v>31733.1</v>
      </c>
    </row>
    <row r="451" spans="2:8" ht="51">
      <c r="B451" s="175" t="s">
        <v>2537</v>
      </c>
      <c r="C451" s="170" t="s">
        <v>758</v>
      </c>
      <c r="D451" s="3" t="s">
        <v>759</v>
      </c>
      <c r="E451" s="4" t="s">
        <v>37</v>
      </c>
      <c r="F451" s="5" t="s">
        <v>760</v>
      </c>
      <c r="G451" s="5">
        <v>12.26</v>
      </c>
      <c r="H451" s="8">
        <f t="shared" si="51"/>
        <v>2108.7199999999998</v>
      </c>
    </row>
    <row r="452" spans="2:8" ht="51">
      <c r="B452" s="175" t="s">
        <v>2538</v>
      </c>
      <c r="C452" s="170" t="s">
        <v>761</v>
      </c>
      <c r="D452" s="3" t="s">
        <v>762</v>
      </c>
      <c r="E452" s="4" t="s">
        <v>37</v>
      </c>
      <c r="F452" s="5" t="s">
        <v>25</v>
      </c>
      <c r="G452" s="5">
        <v>9.0399999999999991</v>
      </c>
      <c r="H452" s="8">
        <f t="shared" si="51"/>
        <v>244.08</v>
      </c>
    </row>
    <row r="453" spans="2:8" ht="51">
      <c r="B453" s="175" t="s">
        <v>2539</v>
      </c>
      <c r="C453" s="170" t="s">
        <v>763</v>
      </c>
      <c r="D453" s="3" t="s">
        <v>764</v>
      </c>
      <c r="E453" s="4" t="s">
        <v>37</v>
      </c>
      <c r="F453" s="5" t="s">
        <v>765</v>
      </c>
      <c r="G453" s="5">
        <v>45.71</v>
      </c>
      <c r="H453" s="8">
        <f t="shared" si="51"/>
        <v>5713.75</v>
      </c>
    </row>
    <row r="454" spans="2:8" ht="51">
      <c r="B454" s="175" t="s">
        <v>2540</v>
      </c>
      <c r="C454" s="170" t="s">
        <v>766</v>
      </c>
      <c r="D454" s="3" t="s">
        <v>767</v>
      </c>
      <c r="E454" s="4" t="s">
        <v>37</v>
      </c>
      <c r="F454" s="5" t="s">
        <v>523</v>
      </c>
      <c r="G454" s="5">
        <v>9.68</v>
      </c>
      <c r="H454" s="8">
        <f t="shared" si="51"/>
        <v>880.88</v>
      </c>
    </row>
    <row r="455" spans="2:8" ht="51">
      <c r="B455" s="175" t="s">
        <v>2541</v>
      </c>
      <c r="C455" s="170" t="s">
        <v>768</v>
      </c>
      <c r="D455" s="3" t="s">
        <v>769</v>
      </c>
      <c r="E455" s="4" t="s">
        <v>37</v>
      </c>
      <c r="F455" s="5" t="s">
        <v>683</v>
      </c>
      <c r="G455" s="5">
        <v>10.45</v>
      </c>
      <c r="H455" s="8">
        <f t="shared" si="51"/>
        <v>313.5</v>
      </c>
    </row>
    <row r="456" spans="2:8" ht="51">
      <c r="B456" s="175" t="s">
        <v>2542</v>
      </c>
      <c r="C456" s="170" t="s">
        <v>770</v>
      </c>
      <c r="D456" s="3" t="s">
        <v>771</v>
      </c>
      <c r="E456" s="4" t="s">
        <v>37</v>
      </c>
      <c r="F456" s="5" t="s">
        <v>46</v>
      </c>
      <c r="G456" s="5">
        <v>21.25</v>
      </c>
      <c r="H456" s="8">
        <f t="shared" si="51"/>
        <v>340</v>
      </c>
    </row>
    <row r="457" spans="2:8" ht="51">
      <c r="B457" s="175" t="s">
        <v>2543</v>
      </c>
      <c r="C457" s="170" t="s">
        <v>772</v>
      </c>
      <c r="D457" s="3" t="s">
        <v>773</v>
      </c>
      <c r="E457" s="4" t="s">
        <v>37</v>
      </c>
      <c r="F457" s="5" t="s">
        <v>34</v>
      </c>
      <c r="G457" s="5">
        <v>22.34</v>
      </c>
      <c r="H457" s="8">
        <f t="shared" si="51"/>
        <v>402.12</v>
      </c>
    </row>
    <row r="458" spans="2:8" ht="51">
      <c r="B458" s="175" t="s">
        <v>2544</v>
      </c>
      <c r="C458" s="170" t="s">
        <v>774</v>
      </c>
      <c r="D458" s="3" t="s">
        <v>775</v>
      </c>
      <c r="E458" s="4" t="s">
        <v>37</v>
      </c>
      <c r="F458" s="5" t="s">
        <v>776</v>
      </c>
      <c r="G458" s="5">
        <v>29.81</v>
      </c>
      <c r="H458" s="8">
        <f t="shared" si="51"/>
        <v>1788.6</v>
      </c>
    </row>
    <row r="459" spans="2:8" s="134" customFormat="1" ht="15" customHeight="1">
      <c r="B459" s="169" t="s">
        <v>777</v>
      </c>
      <c r="C459" s="169"/>
      <c r="D459" s="187" t="s">
        <v>778</v>
      </c>
      <c r="E459" s="187"/>
      <c r="F459" s="187"/>
      <c r="G459" s="187"/>
      <c r="H459" s="188"/>
    </row>
    <row r="460" spans="2:8" ht="25.5">
      <c r="B460" s="170" t="s">
        <v>2545</v>
      </c>
      <c r="C460" s="170">
        <v>11315</v>
      </c>
      <c r="D460" s="3" t="s">
        <v>779</v>
      </c>
      <c r="E460" s="4" t="s">
        <v>37</v>
      </c>
      <c r="F460" s="5" t="s">
        <v>311</v>
      </c>
      <c r="G460" s="432">
        <v>150.88999999999999</v>
      </c>
      <c r="H460" s="8">
        <f t="shared" ref="H460:H465" si="52">TRUNC(F460*G460,(2))</f>
        <v>3621.36</v>
      </c>
    </row>
    <row r="461" spans="2:8" ht="25.5">
      <c r="B461" s="170" t="s">
        <v>2546</v>
      </c>
      <c r="C461" s="170" t="s">
        <v>2196</v>
      </c>
      <c r="D461" s="136" t="s">
        <v>780</v>
      </c>
      <c r="E461" s="4" t="s">
        <v>37</v>
      </c>
      <c r="F461" s="5" t="s">
        <v>311</v>
      </c>
      <c r="G461" s="5">
        <f>CPU!H1103</f>
        <v>108.7193454941</v>
      </c>
      <c r="H461" s="8">
        <f t="shared" si="52"/>
        <v>2609.2600000000002</v>
      </c>
    </row>
    <row r="462" spans="2:8" ht="51">
      <c r="B462" s="170" t="s">
        <v>2547</v>
      </c>
      <c r="C462" s="170" t="s">
        <v>781</v>
      </c>
      <c r="D462" s="3" t="s">
        <v>782</v>
      </c>
      <c r="E462" s="4" t="s">
        <v>37</v>
      </c>
      <c r="F462" s="5" t="s">
        <v>46</v>
      </c>
      <c r="G462" s="5">
        <v>449.91</v>
      </c>
      <c r="H462" s="8">
        <f t="shared" si="52"/>
        <v>7198.56</v>
      </c>
    </row>
    <row r="463" spans="2:8" ht="37.5" customHeight="1">
      <c r="B463" s="170" t="s">
        <v>2548</v>
      </c>
      <c r="C463" s="170" t="s">
        <v>783</v>
      </c>
      <c r="D463" s="3" t="s">
        <v>784</v>
      </c>
      <c r="E463" s="4" t="s">
        <v>37</v>
      </c>
      <c r="F463" s="5" t="s">
        <v>611</v>
      </c>
      <c r="G463" s="5">
        <v>764.49</v>
      </c>
      <c r="H463" s="8">
        <f t="shared" si="52"/>
        <v>6115.92</v>
      </c>
    </row>
    <row r="464" spans="2:8" ht="38.25">
      <c r="B464" s="170" t="s">
        <v>2549</v>
      </c>
      <c r="C464" s="170" t="s">
        <v>785</v>
      </c>
      <c r="D464" s="3" t="s">
        <v>786</v>
      </c>
      <c r="E464" s="4" t="s">
        <v>37</v>
      </c>
      <c r="F464" s="5" t="s">
        <v>38</v>
      </c>
      <c r="G464" s="5">
        <v>170.45</v>
      </c>
      <c r="H464" s="8">
        <f t="shared" si="52"/>
        <v>170.45</v>
      </c>
    </row>
    <row r="465" spans="2:8" ht="51">
      <c r="B465" s="170" t="s">
        <v>2550</v>
      </c>
      <c r="C465" s="170" t="s">
        <v>787</v>
      </c>
      <c r="D465" s="3" t="s">
        <v>788</v>
      </c>
      <c r="E465" s="4" t="s">
        <v>37</v>
      </c>
      <c r="F465" s="5" t="s">
        <v>358</v>
      </c>
      <c r="G465" s="5">
        <v>366.16</v>
      </c>
      <c r="H465" s="8">
        <f t="shared" si="52"/>
        <v>1098.48</v>
      </c>
    </row>
    <row r="466" spans="2:8" s="134" customFormat="1" ht="15" customHeight="1">
      <c r="B466" s="169" t="s">
        <v>789</v>
      </c>
      <c r="C466" s="169"/>
      <c r="D466" s="187" t="s">
        <v>717</v>
      </c>
      <c r="E466" s="187"/>
      <c r="F466" s="187"/>
      <c r="G466" s="187"/>
      <c r="H466" s="190" t="s">
        <v>1154</v>
      </c>
    </row>
    <row r="467" spans="2:8" ht="25.5" customHeight="1">
      <c r="B467" s="170" t="s">
        <v>2551</v>
      </c>
      <c r="C467" s="170" t="s">
        <v>718</v>
      </c>
      <c r="D467" s="3" t="s">
        <v>719</v>
      </c>
      <c r="E467" s="4" t="s">
        <v>75</v>
      </c>
      <c r="F467" s="5" t="s">
        <v>790</v>
      </c>
      <c r="G467" s="5">
        <v>99.55</v>
      </c>
      <c r="H467" s="8">
        <f t="shared" ref="H467:H468" si="53">TRUNC(F467*G467,(2))</f>
        <v>16724.400000000001</v>
      </c>
    </row>
    <row r="468" spans="2:8" ht="25.5">
      <c r="B468" s="170" t="s">
        <v>2552</v>
      </c>
      <c r="C468" s="170" t="s">
        <v>133</v>
      </c>
      <c r="D468" s="136" t="s">
        <v>134</v>
      </c>
      <c r="E468" s="4" t="s">
        <v>75</v>
      </c>
      <c r="F468" s="5" t="s">
        <v>791</v>
      </c>
      <c r="G468" s="5">
        <v>46.5</v>
      </c>
      <c r="H468" s="8">
        <f t="shared" si="53"/>
        <v>7486.5</v>
      </c>
    </row>
    <row r="469" spans="2:8" ht="15" customHeight="1">
      <c r="B469" s="170"/>
      <c r="C469" s="170"/>
      <c r="D469" s="193" t="s">
        <v>1187</v>
      </c>
      <c r="E469" s="194"/>
      <c r="F469" s="195"/>
      <c r="G469" s="195"/>
      <c r="H469" s="196">
        <f>SUM(H437:H468)</f>
        <v>121640.4</v>
      </c>
    </row>
    <row r="470" spans="2:8" s="134" customFormat="1" ht="20.100000000000001" customHeight="1">
      <c r="B470" s="172"/>
      <c r="C470" s="178"/>
      <c r="D470" s="179" t="s">
        <v>2791</v>
      </c>
      <c r="E470" s="180"/>
      <c r="F470" s="181"/>
      <c r="G470" s="181"/>
      <c r="H470" s="182">
        <f>H389+ORCA!H411+ORCA!H434+ORCA!H469</f>
        <v>805719.23</v>
      </c>
    </row>
    <row r="471" spans="2:8" s="134" customFormat="1" ht="20.100000000000001" customHeight="1">
      <c r="B471" s="176" t="s">
        <v>792</v>
      </c>
      <c r="C471" s="176"/>
      <c r="D471" s="204" t="s">
        <v>793</v>
      </c>
      <c r="E471" s="204"/>
      <c r="F471" s="204"/>
      <c r="G471" s="204"/>
      <c r="H471" s="205" t="s">
        <v>1154</v>
      </c>
    </row>
    <row r="472" spans="2:8" s="134" customFormat="1" ht="15" customHeight="1">
      <c r="B472" s="163" t="s">
        <v>794</v>
      </c>
      <c r="C472" s="163"/>
      <c r="D472" s="164" t="s">
        <v>795</v>
      </c>
      <c r="E472" s="164"/>
      <c r="F472" s="164"/>
      <c r="G472" s="164"/>
      <c r="H472" s="198" t="s">
        <v>1154</v>
      </c>
    </row>
    <row r="473" spans="2:8" s="134" customFormat="1" ht="15" customHeight="1">
      <c r="B473" s="169" t="s">
        <v>796</v>
      </c>
      <c r="C473" s="169"/>
      <c r="D473" s="187" t="s">
        <v>797</v>
      </c>
      <c r="E473" s="187"/>
      <c r="F473" s="187"/>
      <c r="G473" s="187"/>
      <c r="H473" s="190" t="s">
        <v>1154</v>
      </c>
    </row>
    <row r="474" spans="2:8" ht="25.5">
      <c r="B474" s="170" t="s">
        <v>2553</v>
      </c>
      <c r="C474" s="170" t="s">
        <v>2085</v>
      </c>
      <c r="D474" s="136" t="s">
        <v>798</v>
      </c>
      <c r="E474" s="4" t="s">
        <v>663</v>
      </c>
      <c r="F474" s="5" t="s">
        <v>38</v>
      </c>
      <c r="G474" s="5">
        <f>CPU!H1145</f>
        <v>137137.72235700203</v>
      </c>
      <c r="H474" s="8">
        <f>TRUNC(F474*G474,(2))</f>
        <v>137137.72</v>
      </c>
    </row>
    <row r="475" spans="2:8" s="134" customFormat="1" ht="15" customHeight="1">
      <c r="B475" s="169" t="s">
        <v>799</v>
      </c>
      <c r="C475" s="169"/>
      <c r="D475" s="187" t="s">
        <v>800</v>
      </c>
      <c r="E475" s="187"/>
      <c r="F475" s="187"/>
      <c r="G475" s="187"/>
      <c r="H475" s="190" t="s">
        <v>1154</v>
      </c>
    </row>
    <row r="476" spans="2:8" ht="38.25">
      <c r="B476" s="170" t="s">
        <v>2554</v>
      </c>
      <c r="C476" s="170" t="s">
        <v>801</v>
      </c>
      <c r="D476" s="3" t="s">
        <v>802</v>
      </c>
      <c r="E476" s="4" t="s">
        <v>15</v>
      </c>
      <c r="F476" s="5" t="s">
        <v>803</v>
      </c>
      <c r="G476" s="5">
        <v>272.76</v>
      </c>
      <c r="H476" s="8">
        <f>TRUNC(F476*G476,(2))</f>
        <v>50460.6</v>
      </c>
    </row>
    <row r="477" spans="2:8" ht="15" customHeight="1">
      <c r="B477" s="169" t="s">
        <v>804</v>
      </c>
      <c r="C477" s="169"/>
      <c r="D477" s="200" t="s">
        <v>805</v>
      </c>
      <c r="E477" s="200"/>
      <c r="F477" s="200"/>
      <c r="G477" s="200"/>
      <c r="H477" s="201" t="s">
        <v>1154</v>
      </c>
    </row>
    <row r="478" spans="2:8" ht="25.5">
      <c r="B478" s="170" t="s">
        <v>2555</v>
      </c>
      <c r="C478" s="170" t="s">
        <v>806</v>
      </c>
      <c r="D478" s="3" t="s">
        <v>807</v>
      </c>
      <c r="E478" s="4" t="s">
        <v>15</v>
      </c>
      <c r="F478" s="5" t="s">
        <v>808</v>
      </c>
      <c r="G478" s="5">
        <v>80.069999999999993</v>
      </c>
      <c r="H478" s="8">
        <f t="shared" ref="H478:H479" si="54">TRUNC(F478*G478,(2))</f>
        <v>2482.17</v>
      </c>
    </row>
    <row r="479" spans="2:8" ht="26.25" customHeight="1">
      <c r="B479" s="170" t="s">
        <v>2556</v>
      </c>
      <c r="C479" s="170" t="s">
        <v>809</v>
      </c>
      <c r="D479" s="3" t="s">
        <v>810</v>
      </c>
      <c r="E479" s="4" t="s">
        <v>37</v>
      </c>
      <c r="F479" s="5" t="s">
        <v>367</v>
      </c>
      <c r="G479" s="5">
        <v>98.18</v>
      </c>
      <c r="H479" s="8">
        <f t="shared" si="54"/>
        <v>196.36</v>
      </c>
    </row>
    <row r="480" spans="2:8" s="134" customFormat="1" ht="15" customHeight="1">
      <c r="B480" s="169" t="s">
        <v>811</v>
      </c>
      <c r="C480" s="169"/>
      <c r="D480" s="187" t="s">
        <v>812</v>
      </c>
      <c r="E480" s="187"/>
      <c r="F480" s="187"/>
      <c r="G480" s="187"/>
      <c r="H480" s="190" t="s">
        <v>1154</v>
      </c>
    </row>
    <row r="481" spans="2:8" ht="25.5">
      <c r="B481" s="170" t="s">
        <v>2557</v>
      </c>
      <c r="C481" s="170" t="s">
        <v>2086</v>
      </c>
      <c r="D481" s="3" t="s">
        <v>813</v>
      </c>
      <c r="E481" s="4" t="s">
        <v>37</v>
      </c>
      <c r="F481" s="5" t="s">
        <v>38</v>
      </c>
      <c r="G481" s="5">
        <f>CPU!H1159</f>
        <v>738.71348511501003</v>
      </c>
      <c r="H481" s="8">
        <f>TRUNC(F481*G481,(2))</f>
        <v>738.71</v>
      </c>
    </row>
    <row r="482" spans="2:8" s="134" customFormat="1" ht="15" customHeight="1">
      <c r="B482" s="169" t="s">
        <v>814</v>
      </c>
      <c r="C482" s="169"/>
      <c r="D482" s="187" t="s">
        <v>815</v>
      </c>
      <c r="E482" s="187"/>
      <c r="F482" s="187"/>
      <c r="G482" s="187"/>
      <c r="H482" s="190" t="s">
        <v>1154</v>
      </c>
    </row>
    <row r="483" spans="2:8" s="134" customFormat="1" ht="15" customHeight="1">
      <c r="B483" s="169" t="s">
        <v>816</v>
      </c>
      <c r="C483" s="169"/>
      <c r="D483" s="187" t="s">
        <v>817</v>
      </c>
      <c r="E483" s="187"/>
      <c r="F483" s="187"/>
      <c r="G483" s="187"/>
      <c r="H483" s="190" t="s">
        <v>1154</v>
      </c>
    </row>
    <row r="484" spans="2:8" ht="25.5">
      <c r="B484" s="170" t="s">
        <v>2558</v>
      </c>
      <c r="C484" s="170" t="s">
        <v>2087</v>
      </c>
      <c r="D484" s="136" t="s">
        <v>818</v>
      </c>
      <c r="E484" s="4" t="s">
        <v>663</v>
      </c>
      <c r="F484" s="5" t="s">
        <v>38</v>
      </c>
      <c r="G484" s="5">
        <f>CPU!H1169</f>
        <v>5330.8</v>
      </c>
      <c r="H484" s="8">
        <f>TRUNC(F484*G484,(2))</f>
        <v>5330.8</v>
      </c>
    </row>
    <row r="485" spans="2:8" s="134" customFormat="1" ht="15" customHeight="1">
      <c r="B485" s="169" t="s">
        <v>819</v>
      </c>
      <c r="C485" s="169"/>
      <c r="D485" s="187" t="s">
        <v>820</v>
      </c>
      <c r="E485" s="187"/>
      <c r="F485" s="187"/>
      <c r="G485" s="187"/>
      <c r="H485" s="190"/>
    </row>
    <row r="486" spans="2:8" ht="25.5" customHeight="1">
      <c r="B486" s="170" t="s">
        <v>2559</v>
      </c>
      <c r="C486" s="170" t="s">
        <v>2090</v>
      </c>
      <c r="D486" s="136" t="s">
        <v>821</v>
      </c>
      <c r="E486" s="4" t="s">
        <v>663</v>
      </c>
      <c r="F486" s="5" t="s">
        <v>38</v>
      </c>
      <c r="G486" s="5">
        <f>CPU!H1179</f>
        <v>3415.83</v>
      </c>
      <c r="H486" s="8">
        <f t="shared" ref="H486:H495" si="55">TRUNC(F486*G486,(2))</f>
        <v>3415.83</v>
      </c>
    </row>
    <row r="487" spans="2:8" ht="25.5" customHeight="1">
      <c r="B487" s="170" t="s">
        <v>2560</v>
      </c>
      <c r="C487" s="170" t="s">
        <v>2091</v>
      </c>
      <c r="D487" s="136" t="s">
        <v>822</v>
      </c>
      <c r="E487" s="4" t="s">
        <v>663</v>
      </c>
      <c r="F487" s="5" t="s">
        <v>38</v>
      </c>
      <c r="G487" s="5">
        <f>CPU!H1188</f>
        <v>1611.0817499999998</v>
      </c>
      <c r="H487" s="8">
        <f t="shared" si="55"/>
        <v>1611.08</v>
      </c>
    </row>
    <row r="488" spans="2:8" ht="25.5" customHeight="1">
      <c r="B488" s="170" t="s">
        <v>2561</v>
      </c>
      <c r="C488" s="170" t="s">
        <v>2093</v>
      </c>
      <c r="D488" s="136" t="s">
        <v>823</v>
      </c>
      <c r="E488" s="4" t="s">
        <v>663</v>
      </c>
      <c r="F488" s="5" t="s">
        <v>38</v>
      </c>
      <c r="G488" s="5">
        <f>CPU!H1197</f>
        <v>1925.65175</v>
      </c>
      <c r="H488" s="8">
        <f t="shared" si="55"/>
        <v>1925.65</v>
      </c>
    </row>
    <row r="489" spans="2:8" ht="25.5" customHeight="1">
      <c r="B489" s="170" t="s">
        <v>2562</v>
      </c>
      <c r="C489" s="170" t="s">
        <v>2095</v>
      </c>
      <c r="D489" s="136" t="s">
        <v>824</v>
      </c>
      <c r="E489" s="4" t="s">
        <v>663</v>
      </c>
      <c r="F489" s="5" t="s">
        <v>38</v>
      </c>
      <c r="G489" s="5">
        <f>CPU!H1206</f>
        <v>1595.63175</v>
      </c>
      <c r="H489" s="8">
        <f t="shared" si="55"/>
        <v>1595.63</v>
      </c>
    </row>
    <row r="490" spans="2:8" ht="25.5" customHeight="1">
      <c r="B490" s="170" t="s">
        <v>2563</v>
      </c>
      <c r="C490" s="170" t="s">
        <v>2096</v>
      </c>
      <c r="D490" s="136" t="s">
        <v>825</v>
      </c>
      <c r="E490" s="4" t="s">
        <v>663</v>
      </c>
      <c r="F490" s="5" t="s">
        <v>38</v>
      </c>
      <c r="G490" s="5">
        <f>CPU!H1215</f>
        <v>3191.2917499999999</v>
      </c>
      <c r="H490" s="8">
        <f t="shared" si="55"/>
        <v>3191.29</v>
      </c>
    </row>
    <row r="491" spans="2:8" ht="25.5" customHeight="1">
      <c r="B491" s="170" t="s">
        <v>2564</v>
      </c>
      <c r="C491" s="170" t="s">
        <v>2097</v>
      </c>
      <c r="D491" s="136" t="s">
        <v>826</v>
      </c>
      <c r="E491" s="4" t="s">
        <v>663</v>
      </c>
      <c r="F491" s="5" t="s">
        <v>38</v>
      </c>
      <c r="G491" s="5">
        <f>CPU!H1224</f>
        <v>3425.2417500000001</v>
      </c>
      <c r="H491" s="8">
        <f t="shared" si="55"/>
        <v>3425.24</v>
      </c>
    </row>
    <row r="492" spans="2:8" ht="25.5" customHeight="1">
      <c r="B492" s="170" t="s">
        <v>2565</v>
      </c>
      <c r="C492" s="170" t="s">
        <v>2099</v>
      </c>
      <c r="D492" s="136" t="s">
        <v>827</v>
      </c>
      <c r="E492" s="4" t="s">
        <v>663</v>
      </c>
      <c r="F492" s="5" t="s">
        <v>38</v>
      </c>
      <c r="G492" s="5">
        <f>CPU!H1233</f>
        <v>3580.8417499999996</v>
      </c>
      <c r="H492" s="8">
        <f t="shared" si="55"/>
        <v>3580.84</v>
      </c>
    </row>
    <row r="493" spans="2:8" ht="25.5" customHeight="1">
      <c r="B493" s="170" t="s">
        <v>2566</v>
      </c>
      <c r="C493" s="170" t="s">
        <v>2100</v>
      </c>
      <c r="D493" s="136" t="s">
        <v>828</v>
      </c>
      <c r="E493" s="4" t="s">
        <v>663</v>
      </c>
      <c r="F493" s="5" t="s">
        <v>38</v>
      </c>
      <c r="G493" s="5">
        <f>CPU!H1242</f>
        <v>1736.2298999999998</v>
      </c>
      <c r="H493" s="8">
        <f t="shared" si="55"/>
        <v>1736.22</v>
      </c>
    </row>
    <row r="494" spans="2:8" ht="40.5" customHeight="1">
      <c r="B494" s="170" t="s">
        <v>2567</v>
      </c>
      <c r="C494" s="170" t="s">
        <v>2831</v>
      </c>
      <c r="D494" s="3" t="s">
        <v>830</v>
      </c>
      <c r="E494" s="4" t="s">
        <v>37</v>
      </c>
      <c r="F494" s="5" t="s">
        <v>358</v>
      </c>
      <c r="G494" s="5">
        <v>3113.75</v>
      </c>
      <c r="H494" s="8">
        <f t="shared" si="55"/>
        <v>9341.25</v>
      </c>
    </row>
    <row r="495" spans="2:8" ht="27.75" customHeight="1">
      <c r="B495" s="170" t="s">
        <v>2568</v>
      </c>
      <c r="C495" s="170" t="s">
        <v>831</v>
      </c>
      <c r="D495" s="3" t="s">
        <v>832</v>
      </c>
      <c r="E495" s="4" t="s">
        <v>37</v>
      </c>
      <c r="F495" s="5" t="s">
        <v>575</v>
      </c>
      <c r="G495" s="5">
        <v>26.77</v>
      </c>
      <c r="H495" s="8">
        <f t="shared" si="55"/>
        <v>240.93</v>
      </c>
    </row>
    <row r="496" spans="2:8" s="134" customFormat="1" ht="15" customHeight="1">
      <c r="B496" s="169" t="s">
        <v>833</v>
      </c>
      <c r="C496" s="169"/>
      <c r="D496" s="187" t="s">
        <v>805</v>
      </c>
      <c r="E496" s="187"/>
      <c r="F496" s="187"/>
      <c r="G496" s="187"/>
      <c r="H496" s="190" t="s">
        <v>1154</v>
      </c>
    </row>
    <row r="497" spans="2:8" ht="38.25">
      <c r="B497" s="170" t="s">
        <v>2569</v>
      </c>
      <c r="C497" s="170" t="s">
        <v>2194</v>
      </c>
      <c r="D497" s="3" t="s">
        <v>699</v>
      </c>
      <c r="E497" s="4" t="s">
        <v>24</v>
      </c>
      <c r="F497" s="5" t="s">
        <v>834</v>
      </c>
      <c r="G497" s="5">
        <f>CPU!H993</f>
        <v>22.484903649589999</v>
      </c>
      <c r="H497" s="8">
        <f t="shared" ref="H497:H506" si="56">TRUNC(F497*G497,(2))</f>
        <v>3327.76</v>
      </c>
    </row>
    <row r="498" spans="2:8" ht="37.5" customHeight="1">
      <c r="B498" s="170" t="s">
        <v>2570</v>
      </c>
      <c r="C498" s="170" t="s">
        <v>835</v>
      </c>
      <c r="D498" s="3" t="s">
        <v>836</v>
      </c>
      <c r="E498" s="4" t="s">
        <v>15</v>
      </c>
      <c r="F498" s="5" t="s">
        <v>837</v>
      </c>
      <c r="G498" s="5">
        <v>11.57</v>
      </c>
      <c r="H498" s="8">
        <f t="shared" si="56"/>
        <v>17204.59</v>
      </c>
    </row>
    <row r="499" spans="2:8" ht="38.25">
      <c r="B499" s="170" t="s">
        <v>2571</v>
      </c>
      <c r="C499" s="170" t="s">
        <v>838</v>
      </c>
      <c r="D499" s="3" t="s">
        <v>839</v>
      </c>
      <c r="E499" s="4" t="s">
        <v>15</v>
      </c>
      <c r="F499" s="5" t="s">
        <v>623</v>
      </c>
      <c r="G499" s="5">
        <v>10.82</v>
      </c>
      <c r="H499" s="8">
        <f t="shared" si="56"/>
        <v>5280.16</v>
      </c>
    </row>
    <row r="500" spans="2:8" ht="38.25">
      <c r="B500" s="170" t="s">
        <v>2572</v>
      </c>
      <c r="C500" s="170" t="s">
        <v>840</v>
      </c>
      <c r="D500" s="3" t="s">
        <v>841</v>
      </c>
      <c r="E500" s="4" t="s">
        <v>15</v>
      </c>
      <c r="F500" s="5" t="s">
        <v>735</v>
      </c>
      <c r="G500" s="5">
        <v>15.33</v>
      </c>
      <c r="H500" s="8">
        <f t="shared" si="56"/>
        <v>1670.97</v>
      </c>
    </row>
    <row r="501" spans="2:8" ht="38.25">
      <c r="B501" s="170" t="s">
        <v>2573</v>
      </c>
      <c r="C501" s="170" t="s">
        <v>842</v>
      </c>
      <c r="D501" s="3" t="s">
        <v>843</v>
      </c>
      <c r="E501" s="4" t="s">
        <v>15</v>
      </c>
      <c r="F501" s="5" t="s">
        <v>844</v>
      </c>
      <c r="G501" s="5">
        <v>19.760000000000002</v>
      </c>
      <c r="H501" s="8">
        <f t="shared" si="56"/>
        <v>8160.88</v>
      </c>
    </row>
    <row r="502" spans="2:8" ht="36.75" customHeight="1">
      <c r="B502" s="170" t="s">
        <v>2574</v>
      </c>
      <c r="C502" s="170" t="s">
        <v>845</v>
      </c>
      <c r="D502" s="3" t="s">
        <v>846</v>
      </c>
      <c r="E502" s="4" t="s">
        <v>37</v>
      </c>
      <c r="F502" s="5" t="s">
        <v>667</v>
      </c>
      <c r="G502" s="5">
        <v>18.78</v>
      </c>
      <c r="H502" s="8">
        <f t="shared" si="56"/>
        <v>244.14</v>
      </c>
    </row>
    <row r="503" spans="2:8" ht="39" customHeight="1">
      <c r="B503" s="170" t="s">
        <v>2575</v>
      </c>
      <c r="C503" s="170" t="s">
        <v>847</v>
      </c>
      <c r="D503" s="3" t="s">
        <v>848</v>
      </c>
      <c r="E503" s="4" t="s">
        <v>37</v>
      </c>
      <c r="F503" s="5" t="s">
        <v>14</v>
      </c>
      <c r="G503" s="5">
        <v>21.37</v>
      </c>
      <c r="H503" s="8">
        <f t="shared" si="56"/>
        <v>213.7</v>
      </c>
    </row>
    <row r="504" spans="2:8" ht="25.5">
      <c r="B504" s="170" t="s">
        <v>2576</v>
      </c>
      <c r="C504" s="170" t="s">
        <v>849</v>
      </c>
      <c r="D504" s="3" t="s">
        <v>850</v>
      </c>
      <c r="E504" s="4" t="s">
        <v>15</v>
      </c>
      <c r="F504" s="5" t="s">
        <v>851</v>
      </c>
      <c r="G504" s="5">
        <v>20.12</v>
      </c>
      <c r="H504" s="8">
        <f t="shared" si="56"/>
        <v>5392.16</v>
      </c>
    </row>
    <row r="505" spans="2:8" ht="25.5">
      <c r="B505" s="170" t="s">
        <v>2577</v>
      </c>
      <c r="C505" s="170" t="s">
        <v>852</v>
      </c>
      <c r="D505" s="3" t="s">
        <v>853</v>
      </c>
      <c r="E505" s="4" t="s">
        <v>15</v>
      </c>
      <c r="F505" s="5" t="s">
        <v>289</v>
      </c>
      <c r="G505" s="5">
        <v>30.35</v>
      </c>
      <c r="H505" s="8">
        <f t="shared" si="56"/>
        <v>667.7</v>
      </c>
    </row>
    <row r="506" spans="2:8" ht="27" customHeight="1">
      <c r="B506" s="170" t="s">
        <v>2578</v>
      </c>
      <c r="C506" s="170" t="s">
        <v>854</v>
      </c>
      <c r="D506" s="3" t="s">
        <v>855</v>
      </c>
      <c r="E506" s="4" t="s">
        <v>37</v>
      </c>
      <c r="F506" s="5" t="s">
        <v>289</v>
      </c>
      <c r="G506" s="5">
        <v>23.95</v>
      </c>
      <c r="H506" s="8">
        <f t="shared" si="56"/>
        <v>526.9</v>
      </c>
    </row>
    <row r="507" spans="2:8" s="134" customFormat="1" ht="15" customHeight="1">
      <c r="B507" s="169" t="s">
        <v>856</v>
      </c>
      <c r="C507" s="169"/>
      <c r="D507" s="187" t="s">
        <v>857</v>
      </c>
      <c r="E507" s="187"/>
      <c r="F507" s="187"/>
      <c r="G507" s="187"/>
      <c r="H507" s="190" t="s">
        <v>1154</v>
      </c>
    </row>
    <row r="508" spans="2:8" ht="38.25">
      <c r="B508" s="170" t="s">
        <v>2579</v>
      </c>
      <c r="C508" s="170" t="s">
        <v>858</v>
      </c>
      <c r="D508" s="3" t="s">
        <v>859</v>
      </c>
      <c r="E508" s="4" t="s">
        <v>15</v>
      </c>
      <c r="F508" s="5" t="s">
        <v>860</v>
      </c>
      <c r="G508" s="5">
        <v>4.33</v>
      </c>
      <c r="H508" s="8">
        <f t="shared" ref="H508:H513" si="57">TRUNC(F508*G508,(2))</f>
        <v>214620.78</v>
      </c>
    </row>
    <row r="509" spans="2:8" ht="38.25">
      <c r="B509" s="170" t="s">
        <v>2580</v>
      </c>
      <c r="C509" s="170" t="s">
        <v>861</v>
      </c>
      <c r="D509" s="3" t="s">
        <v>862</v>
      </c>
      <c r="E509" s="4" t="s">
        <v>15</v>
      </c>
      <c r="F509" s="5" t="s">
        <v>863</v>
      </c>
      <c r="G509" s="5">
        <v>10.15</v>
      </c>
      <c r="H509" s="8">
        <f t="shared" si="57"/>
        <v>20350.75</v>
      </c>
    </row>
    <row r="510" spans="2:8" ht="38.25">
      <c r="B510" s="170" t="s">
        <v>2581</v>
      </c>
      <c r="C510" s="170" t="s">
        <v>864</v>
      </c>
      <c r="D510" s="3" t="s">
        <v>865</v>
      </c>
      <c r="E510" s="4" t="s">
        <v>15</v>
      </c>
      <c r="F510" s="5" t="s">
        <v>866</v>
      </c>
      <c r="G510" s="5">
        <v>16.25</v>
      </c>
      <c r="H510" s="8">
        <f t="shared" si="57"/>
        <v>35067.5</v>
      </c>
    </row>
    <row r="511" spans="2:8" ht="38.25">
      <c r="B511" s="170" t="s">
        <v>2582</v>
      </c>
      <c r="C511" s="170" t="s">
        <v>867</v>
      </c>
      <c r="D511" s="3" t="s">
        <v>868</v>
      </c>
      <c r="E511" s="4" t="s">
        <v>15</v>
      </c>
      <c r="F511" s="5" t="s">
        <v>651</v>
      </c>
      <c r="G511" s="5">
        <v>25.5</v>
      </c>
      <c r="H511" s="8">
        <f t="shared" si="57"/>
        <v>3060</v>
      </c>
    </row>
    <row r="512" spans="2:8" ht="38.25">
      <c r="B512" s="170" t="s">
        <v>2583</v>
      </c>
      <c r="C512" s="170" t="s">
        <v>869</v>
      </c>
      <c r="D512" s="3" t="s">
        <v>870</v>
      </c>
      <c r="E512" s="4" t="s">
        <v>15</v>
      </c>
      <c r="F512" s="5" t="s">
        <v>871</v>
      </c>
      <c r="G512" s="5">
        <v>29.45</v>
      </c>
      <c r="H512" s="8">
        <f t="shared" si="57"/>
        <v>27005.65</v>
      </c>
    </row>
    <row r="513" spans="2:8" ht="38.25">
      <c r="B513" s="170" t="s">
        <v>2584</v>
      </c>
      <c r="C513" s="170" t="s">
        <v>872</v>
      </c>
      <c r="D513" s="3" t="s">
        <v>873</v>
      </c>
      <c r="E513" s="4" t="s">
        <v>15</v>
      </c>
      <c r="F513" s="5" t="s">
        <v>754</v>
      </c>
      <c r="G513" s="5">
        <v>40.86</v>
      </c>
      <c r="H513" s="8">
        <f t="shared" si="57"/>
        <v>6537.6</v>
      </c>
    </row>
    <row r="514" spans="2:8" s="134" customFormat="1" ht="15" customHeight="1">
      <c r="B514" s="169" t="s">
        <v>874</v>
      </c>
      <c r="C514" s="169"/>
      <c r="D514" s="187" t="s">
        <v>709</v>
      </c>
      <c r="E514" s="187"/>
      <c r="F514" s="187"/>
      <c r="G514" s="187"/>
      <c r="H514" s="190" t="s">
        <v>1154</v>
      </c>
    </row>
    <row r="515" spans="2:8" ht="25.5">
      <c r="B515" s="170" t="s">
        <v>2585</v>
      </c>
      <c r="C515" s="170" t="s">
        <v>2197</v>
      </c>
      <c r="D515" s="136" t="s">
        <v>875</v>
      </c>
      <c r="E515" s="4" t="s">
        <v>37</v>
      </c>
      <c r="F515" s="5" t="s">
        <v>314</v>
      </c>
      <c r="G515" s="5">
        <f>CPU!H1256</f>
        <v>555.238471</v>
      </c>
      <c r="H515" s="8">
        <f t="shared" ref="H515:H520" si="58">TRUNC(F515*G515,(2))</f>
        <v>26651.439999999999</v>
      </c>
    </row>
    <row r="516" spans="2:8" ht="38.25">
      <c r="B516" s="170" t="s">
        <v>2586</v>
      </c>
      <c r="C516" s="170" t="s">
        <v>876</v>
      </c>
      <c r="D516" s="3" t="s">
        <v>877</v>
      </c>
      <c r="E516" s="4" t="s">
        <v>37</v>
      </c>
      <c r="F516" s="5" t="s">
        <v>289</v>
      </c>
      <c r="G516" s="5">
        <v>27.08</v>
      </c>
      <c r="H516" s="8">
        <f t="shared" si="58"/>
        <v>595.76</v>
      </c>
    </row>
    <row r="517" spans="2:8" ht="38.25">
      <c r="B517" s="170" t="s">
        <v>2587</v>
      </c>
      <c r="C517" s="170" t="s">
        <v>878</v>
      </c>
      <c r="D517" s="3" t="s">
        <v>879</v>
      </c>
      <c r="E517" s="4" t="s">
        <v>37</v>
      </c>
      <c r="F517" s="5" t="s">
        <v>880</v>
      </c>
      <c r="G517" s="5">
        <v>14.32</v>
      </c>
      <c r="H517" s="8">
        <f t="shared" si="58"/>
        <v>5670.72</v>
      </c>
    </row>
    <row r="518" spans="2:8" ht="38.25">
      <c r="B518" s="170" t="s">
        <v>2588</v>
      </c>
      <c r="C518" s="170" t="s">
        <v>881</v>
      </c>
      <c r="D518" s="3" t="s">
        <v>882</v>
      </c>
      <c r="E518" s="4" t="s">
        <v>37</v>
      </c>
      <c r="F518" s="5" t="s">
        <v>883</v>
      </c>
      <c r="G518" s="5">
        <v>9.5399999999999991</v>
      </c>
      <c r="H518" s="8">
        <f t="shared" si="58"/>
        <v>1354.68</v>
      </c>
    </row>
    <row r="519" spans="2:8" ht="38.25">
      <c r="B519" s="170" t="s">
        <v>2589</v>
      </c>
      <c r="C519" s="170" t="s">
        <v>884</v>
      </c>
      <c r="D519" s="3" t="s">
        <v>885</v>
      </c>
      <c r="E519" s="4" t="s">
        <v>37</v>
      </c>
      <c r="F519" s="5" t="s">
        <v>886</v>
      </c>
      <c r="G519" s="5">
        <v>33.26</v>
      </c>
      <c r="H519" s="8">
        <f t="shared" si="58"/>
        <v>2860.36</v>
      </c>
    </row>
    <row r="520" spans="2:8" ht="38.25">
      <c r="B520" s="170" t="s">
        <v>2590</v>
      </c>
      <c r="C520" s="170" t="s">
        <v>887</v>
      </c>
      <c r="D520" s="3" t="s">
        <v>888</v>
      </c>
      <c r="E520" s="4" t="s">
        <v>37</v>
      </c>
      <c r="F520" s="5" t="s">
        <v>674</v>
      </c>
      <c r="G520" s="5">
        <v>18.59</v>
      </c>
      <c r="H520" s="8">
        <f t="shared" si="58"/>
        <v>836.55</v>
      </c>
    </row>
    <row r="521" spans="2:8" s="134" customFormat="1" ht="15" customHeight="1">
      <c r="B521" s="169" t="s">
        <v>889</v>
      </c>
      <c r="C521" s="169"/>
      <c r="D521" s="187" t="s">
        <v>890</v>
      </c>
      <c r="E521" s="187"/>
      <c r="F521" s="187"/>
      <c r="G521" s="187"/>
      <c r="H521" s="190" t="s">
        <v>1154</v>
      </c>
    </row>
    <row r="522" spans="2:8" ht="38.25">
      <c r="B522" s="170" t="s">
        <v>2591</v>
      </c>
      <c r="C522" s="170" t="s">
        <v>2102</v>
      </c>
      <c r="D522" s="3" t="s">
        <v>891</v>
      </c>
      <c r="E522" s="4" t="s">
        <v>15</v>
      </c>
      <c r="F522" s="5">
        <v>42</v>
      </c>
      <c r="G522" s="5">
        <f>CPU!H1271</f>
        <v>68.001833622109459</v>
      </c>
      <c r="H522" s="8">
        <f t="shared" ref="H522:H529" si="59">TRUNC(F522*G522,(2))</f>
        <v>2856.07</v>
      </c>
    </row>
    <row r="523" spans="2:8" ht="38.25">
      <c r="B523" s="170" t="s">
        <v>2592</v>
      </c>
      <c r="C523" s="170" t="s">
        <v>2110</v>
      </c>
      <c r="D523" s="3" t="s">
        <v>892</v>
      </c>
      <c r="E523" s="4" t="s">
        <v>15</v>
      </c>
      <c r="F523" s="5">
        <v>117</v>
      </c>
      <c r="G523" s="5">
        <f>CPU!H1286</f>
        <v>60.591741317607564</v>
      </c>
      <c r="H523" s="8">
        <f t="shared" si="59"/>
        <v>7089.23</v>
      </c>
    </row>
    <row r="524" spans="2:8" ht="38.25">
      <c r="B524" s="170" t="s">
        <v>2593</v>
      </c>
      <c r="C524" s="170" t="s">
        <v>2114</v>
      </c>
      <c r="D524" s="3" t="s">
        <v>893</v>
      </c>
      <c r="E524" s="4" t="s">
        <v>15</v>
      </c>
      <c r="F524" s="5">
        <v>32</v>
      </c>
      <c r="G524" s="5">
        <f>CPU!H1301</f>
        <v>66.861415093059463</v>
      </c>
      <c r="H524" s="8">
        <f t="shared" si="59"/>
        <v>2139.56</v>
      </c>
    </row>
    <row r="525" spans="2:8" ht="31.5" customHeight="1">
      <c r="B525" s="170" t="s">
        <v>2594</v>
      </c>
      <c r="C525" s="170" t="s">
        <v>2117</v>
      </c>
      <c r="D525" s="3" t="s">
        <v>894</v>
      </c>
      <c r="E525" s="4" t="s">
        <v>15</v>
      </c>
      <c r="F525" s="5">
        <v>18</v>
      </c>
      <c r="G525" s="5">
        <f>CPU!H1316</f>
        <v>88.528310984653345</v>
      </c>
      <c r="H525" s="8">
        <f t="shared" si="59"/>
        <v>1593.5</v>
      </c>
    </row>
    <row r="526" spans="2:8" ht="27.75" customHeight="1">
      <c r="B526" s="170" t="s">
        <v>2595</v>
      </c>
      <c r="C526" s="170" t="s">
        <v>2121</v>
      </c>
      <c r="D526" s="85" t="s">
        <v>1928</v>
      </c>
      <c r="E526" s="96" t="s">
        <v>15</v>
      </c>
      <c r="F526" s="5">
        <v>479.46</v>
      </c>
      <c r="G526" s="5">
        <f>CPU!H1333</f>
        <v>189.553409539754</v>
      </c>
      <c r="H526" s="8">
        <f t="shared" si="59"/>
        <v>90883.27</v>
      </c>
    </row>
    <row r="527" spans="2:8" ht="25.5">
      <c r="B527" s="170" t="s">
        <v>2596</v>
      </c>
      <c r="C527" s="170" t="s">
        <v>895</v>
      </c>
      <c r="D527" s="3" t="s">
        <v>2727</v>
      </c>
      <c r="E527" s="4" t="s">
        <v>15</v>
      </c>
      <c r="F527" s="5" t="s">
        <v>896</v>
      </c>
      <c r="G527" s="5">
        <v>11.15</v>
      </c>
      <c r="H527" s="8">
        <f t="shared" si="59"/>
        <v>20047.7</v>
      </c>
    </row>
    <row r="528" spans="2:8" ht="25.5">
      <c r="B528" s="170" t="s">
        <v>2597</v>
      </c>
      <c r="C528" s="170" t="s">
        <v>2725</v>
      </c>
      <c r="D528" s="3" t="s">
        <v>2726</v>
      </c>
      <c r="E528" s="4" t="s">
        <v>15</v>
      </c>
      <c r="F528" s="5" t="s">
        <v>897</v>
      </c>
      <c r="G528" s="5">
        <v>17.27</v>
      </c>
      <c r="H528" s="8">
        <f t="shared" si="59"/>
        <v>13332.44</v>
      </c>
    </row>
    <row r="529" spans="2:8" ht="42.75" customHeight="1">
      <c r="B529" s="170" t="s">
        <v>2598</v>
      </c>
      <c r="C529" s="170" t="s">
        <v>898</v>
      </c>
      <c r="D529" s="3" t="s">
        <v>899</v>
      </c>
      <c r="E529" s="4" t="s">
        <v>15</v>
      </c>
      <c r="F529" s="5" t="s">
        <v>900</v>
      </c>
      <c r="G529" s="5">
        <v>19.170000000000002</v>
      </c>
      <c r="H529" s="8">
        <f t="shared" si="59"/>
        <v>4850.01</v>
      </c>
    </row>
    <row r="530" spans="2:8" s="134" customFormat="1" ht="15" customHeight="1">
      <c r="B530" s="170"/>
      <c r="C530" s="170"/>
      <c r="D530" s="193" t="s">
        <v>1188</v>
      </c>
      <c r="E530" s="194"/>
      <c r="F530" s="195"/>
      <c r="G530" s="195"/>
      <c r="H530" s="196">
        <f>SUM(H474:H529)</f>
        <v>756502.84999999986</v>
      </c>
    </row>
    <row r="531" spans="2:8" s="134" customFormat="1" ht="15" customHeight="1">
      <c r="B531" s="163" t="s">
        <v>901</v>
      </c>
      <c r="C531" s="163"/>
      <c r="D531" s="164" t="s">
        <v>902</v>
      </c>
      <c r="E531" s="164"/>
      <c r="F531" s="164"/>
      <c r="G531" s="164"/>
      <c r="H531" s="198" t="s">
        <v>1154</v>
      </c>
    </row>
    <row r="532" spans="2:8" s="134" customFormat="1" ht="15" customHeight="1">
      <c r="B532" s="169" t="s">
        <v>903</v>
      </c>
      <c r="C532" s="169"/>
      <c r="D532" s="187" t="s">
        <v>904</v>
      </c>
      <c r="E532" s="187"/>
      <c r="F532" s="187"/>
      <c r="G532" s="187"/>
      <c r="H532" s="190" t="s">
        <v>1154</v>
      </c>
    </row>
    <row r="533" spans="2:8" ht="30" customHeight="1">
      <c r="B533" s="177" t="s">
        <v>2599</v>
      </c>
      <c r="C533" s="170" t="s">
        <v>2122</v>
      </c>
      <c r="D533" s="136" t="s">
        <v>2728</v>
      </c>
      <c r="E533" s="4" t="s">
        <v>37</v>
      </c>
      <c r="F533" s="5">
        <v>582</v>
      </c>
      <c r="G533" s="5">
        <f>CPU!H1339</f>
        <v>227.85499999999999</v>
      </c>
      <c r="H533" s="8">
        <f t="shared" ref="H533:H538" si="60">TRUNC(F533*G533,(2))</f>
        <v>132611.60999999999</v>
      </c>
    </row>
    <row r="534" spans="2:8" ht="25.5">
      <c r="B534" s="177" t="s">
        <v>2600</v>
      </c>
      <c r="C534" s="170" t="s">
        <v>2124</v>
      </c>
      <c r="D534" s="3" t="s">
        <v>906</v>
      </c>
      <c r="E534" s="4" t="s">
        <v>37</v>
      </c>
      <c r="F534" s="5">
        <v>72</v>
      </c>
      <c r="G534" s="5">
        <f>CPU!H1345</f>
        <v>145.58500000000001</v>
      </c>
      <c r="H534" s="8">
        <f t="shared" si="60"/>
        <v>10482.120000000001</v>
      </c>
    </row>
    <row r="535" spans="2:8" ht="25.5">
      <c r="B535" s="177" t="s">
        <v>2601</v>
      </c>
      <c r="C535" s="170" t="s">
        <v>2125</v>
      </c>
      <c r="D535" s="3" t="s">
        <v>907</v>
      </c>
      <c r="E535" s="4" t="s">
        <v>37</v>
      </c>
      <c r="F535" s="5">
        <v>211</v>
      </c>
      <c r="G535" s="5">
        <f>CPU!H1352</f>
        <v>96.051999999999992</v>
      </c>
      <c r="H535" s="8">
        <f t="shared" si="60"/>
        <v>20266.97</v>
      </c>
    </row>
    <row r="536" spans="2:8" ht="25.5">
      <c r="B536" s="177" t="s">
        <v>2602</v>
      </c>
      <c r="C536" s="170" t="s">
        <v>2126</v>
      </c>
      <c r="D536" s="3" t="s">
        <v>908</v>
      </c>
      <c r="E536" s="4" t="s">
        <v>37</v>
      </c>
      <c r="F536" s="5">
        <v>106</v>
      </c>
      <c r="G536" s="5">
        <f>CPU!H1359</f>
        <v>137.14200000000002</v>
      </c>
      <c r="H536" s="8">
        <f t="shared" si="60"/>
        <v>14537.05</v>
      </c>
    </row>
    <row r="537" spans="2:8" ht="25.5">
      <c r="B537" s="177" t="s">
        <v>2603</v>
      </c>
      <c r="C537" s="170" t="s">
        <v>2127</v>
      </c>
      <c r="D537" s="137" t="s">
        <v>1930</v>
      </c>
      <c r="E537" s="94" t="s">
        <v>37</v>
      </c>
      <c r="F537" s="5">
        <v>413</v>
      </c>
      <c r="G537" s="5">
        <f>CPU!H1368</f>
        <v>45.8705</v>
      </c>
      <c r="H537" s="8">
        <f t="shared" si="60"/>
        <v>18944.509999999998</v>
      </c>
    </row>
    <row r="538" spans="2:8" ht="38.25">
      <c r="B538" s="177" t="s">
        <v>2604</v>
      </c>
      <c r="C538" s="170" t="s">
        <v>909</v>
      </c>
      <c r="D538" s="3" t="s">
        <v>910</v>
      </c>
      <c r="E538" s="4" t="s">
        <v>37</v>
      </c>
      <c r="F538" s="5">
        <v>4</v>
      </c>
      <c r="G538" s="5">
        <v>68.98</v>
      </c>
      <c r="H538" s="8">
        <f t="shared" si="60"/>
        <v>275.92</v>
      </c>
    </row>
    <row r="539" spans="2:8" s="134" customFormat="1" ht="15" customHeight="1">
      <c r="B539" s="169" t="s">
        <v>914</v>
      </c>
      <c r="C539" s="169"/>
      <c r="D539" s="187" t="s">
        <v>915</v>
      </c>
      <c r="E539" s="187"/>
      <c r="F539" s="187"/>
      <c r="G539" s="187"/>
      <c r="H539" s="190" t="s">
        <v>1154</v>
      </c>
    </row>
    <row r="540" spans="2:8" ht="38.25">
      <c r="B540" s="177" t="s">
        <v>2605</v>
      </c>
      <c r="C540" s="170" t="s">
        <v>916</v>
      </c>
      <c r="D540" s="3" t="s">
        <v>917</v>
      </c>
      <c r="E540" s="4" t="s">
        <v>37</v>
      </c>
      <c r="F540" s="5" t="s">
        <v>918</v>
      </c>
      <c r="G540" s="5">
        <v>26.96</v>
      </c>
      <c r="H540" s="8">
        <f t="shared" ref="H540:H543" si="61">TRUNC(F540*G540,(2))</f>
        <v>1752.4</v>
      </c>
    </row>
    <row r="541" spans="2:8" ht="38.25">
      <c r="B541" s="177" t="s">
        <v>2606</v>
      </c>
      <c r="C541" s="170" t="s">
        <v>919</v>
      </c>
      <c r="D541" s="3" t="s">
        <v>920</v>
      </c>
      <c r="E541" s="4" t="s">
        <v>37</v>
      </c>
      <c r="F541" s="5" t="s">
        <v>729</v>
      </c>
      <c r="G541" s="5">
        <v>33.28</v>
      </c>
      <c r="H541" s="8">
        <f t="shared" si="61"/>
        <v>3061.76</v>
      </c>
    </row>
    <row r="542" spans="2:8" ht="38.25">
      <c r="B542" s="177" t="s">
        <v>2607</v>
      </c>
      <c r="C542" s="170" t="s">
        <v>921</v>
      </c>
      <c r="D542" s="3" t="s">
        <v>922</v>
      </c>
      <c r="E542" s="4" t="s">
        <v>37</v>
      </c>
      <c r="F542" s="5" t="s">
        <v>314</v>
      </c>
      <c r="G542" s="5">
        <v>42.69</v>
      </c>
      <c r="H542" s="8">
        <f t="shared" si="61"/>
        <v>2049.12</v>
      </c>
    </row>
    <row r="543" spans="2:8" ht="38.25">
      <c r="B543" s="177" t="s">
        <v>2608</v>
      </c>
      <c r="C543" s="170" t="s">
        <v>923</v>
      </c>
      <c r="D543" s="3" t="s">
        <v>924</v>
      </c>
      <c r="E543" s="4" t="s">
        <v>37</v>
      </c>
      <c r="F543" s="5" t="s">
        <v>925</v>
      </c>
      <c r="G543" s="5">
        <v>58.42</v>
      </c>
      <c r="H543" s="8">
        <f t="shared" si="61"/>
        <v>1518.92</v>
      </c>
    </row>
    <row r="544" spans="2:8" s="134" customFormat="1" ht="15" customHeight="1">
      <c r="B544" s="169" t="s">
        <v>926</v>
      </c>
      <c r="C544" s="169"/>
      <c r="D544" s="187" t="s">
        <v>927</v>
      </c>
      <c r="E544" s="187"/>
      <c r="F544" s="187"/>
      <c r="G544" s="187"/>
      <c r="H544" s="190" t="s">
        <v>1154</v>
      </c>
    </row>
    <row r="545" spans="2:8" ht="25.5">
      <c r="B545" s="170" t="s">
        <v>2609</v>
      </c>
      <c r="C545" s="170" t="s">
        <v>2198</v>
      </c>
      <c r="D545" s="136" t="s">
        <v>928</v>
      </c>
      <c r="E545" s="4" t="s">
        <v>37</v>
      </c>
      <c r="F545" s="5" t="s">
        <v>25</v>
      </c>
      <c r="G545" s="5">
        <f>CPU!H1376</f>
        <v>143.5</v>
      </c>
      <c r="H545" s="8">
        <f t="shared" ref="H545:H548" si="62">TRUNC(F545*G545,(2))</f>
        <v>3874.5</v>
      </c>
    </row>
    <row r="546" spans="2:8" ht="38.25">
      <c r="B546" s="170" t="s">
        <v>2610</v>
      </c>
      <c r="C546" s="170" t="s">
        <v>929</v>
      </c>
      <c r="D546" s="3" t="s">
        <v>930</v>
      </c>
      <c r="E546" s="4" t="s">
        <v>37</v>
      </c>
      <c r="F546" s="5" t="s">
        <v>931</v>
      </c>
      <c r="G546" s="5">
        <v>40.78</v>
      </c>
      <c r="H546" s="8">
        <f t="shared" si="62"/>
        <v>7381.18</v>
      </c>
    </row>
    <row r="547" spans="2:8" ht="38.25">
      <c r="B547" s="170" t="s">
        <v>2611</v>
      </c>
      <c r="C547" s="170" t="s">
        <v>932</v>
      </c>
      <c r="D547" s="3" t="s">
        <v>933</v>
      </c>
      <c r="E547" s="4" t="s">
        <v>37</v>
      </c>
      <c r="F547" s="5" t="s">
        <v>934</v>
      </c>
      <c r="G547" s="5">
        <v>45.8</v>
      </c>
      <c r="H547" s="8">
        <f t="shared" si="62"/>
        <v>13098.8</v>
      </c>
    </row>
    <row r="548" spans="2:8" ht="38.25">
      <c r="B548" s="170" t="s">
        <v>2612</v>
      </c>
      <c r="C548" s="170" t="s">
        <v>935</v>
      </c>
      <c r="D548" s="3" t="s">
        <v>936</v>
      </c>
      <c r="E548" s="4" t="s">
        <v>37</v>
      </c>
      <c r="F548" s="5" t="s">
        <v>937</v>
      </c>
      <c r="G548" s="5">
        <v>73.33</v>
      </c>
      <c r="H548" s="8">
        <f t="shared" si="62"/>
        <v>10192.870000000001</v>
      </c>
    </row>
    <row r="549" spans="2:8" ht="15" customHeight="1">
      <c r="B549" s="170"/>
      <c r="C549" s="7"/>
      <c r="D549" s="193" t="s">
        <v>1189</v>
      </c>
      <c r="E549" s="194"/>
      <c r="F549" s="195"/>
      <c r="G549" s="195"/>
      <c r="H549" s="196">
        <f>SUM(H533:H548)</f>
        <v>240047.72999999998</v>
      </c>
    </row>
    <row r="550" spans="2:8">
      <c r="B550" s="169" t="s">
        <v>938</v>
      </c>
      <c r="C550" s="169"/>
      <c r="D550" s="187" t="s">
        <v>939</v>
      </c>
      <c r="E550" s="200"/>
      <c r="F550" s="200"/>
      <c r="G550" s="200"/>
      <c r="H550" s="201" t="s">
        <v>1154</v>
      </c>
    </row>
    <row r="551" spans="2:8" ht="25.5">
      <c r="B551" s="170" t="s">
        <v>2613</v>
      </c>
      <c r="C551" s="170" t="s">
        <v>2199</v>
      </c>
      <c r="D551" s="3" t="s">
        <v>940</v>
      </c>
      <c r="E551" s="4" t="s">
        <v>663</v>
      </c>
      <c r="F551" s="5" t="s">
        <v>38</v>
      </c>
      <c r="G551" s="5">
        <f>CPU!H1408</f>
        <v>5241.3376699999999</v>
      </c>
      <c r="H551" s="8">
        <f t="shared" ref="H551:H553" si="63">TRUNC(F551*G551,(2))</f>
        <v>5241.33</v>
      </c>
    </row>
    <row r="552" spans="2:8" ht="38.25">
      <c r="B552" s="170" t="s">
        <v>2614</v>
      </c>
      <c r="C552" s="170" t="s">
        <v>2200</v>
      </c>
      <c r="D552" s="3" t="s">
        <v>941</v>
      </c>
      <c r="E552" s="4" t="s">
        <v>37</v>
      </c>
      <c r="F552" s="5" t="s">
        <v>803</v>
      </c>
      <c r="G552" s="5">
        <f>CPU!H1413</f>
        <v>18.102899999999998</v>
      </c>
      <c r="H552" s="8">
        <f t="shared" si="63"/>
        <v>3349.03</v>
      </c>
    </row>
    <row r="553" spans="2:8" ht="26.25" customHeight="1">
      <c r="B553" s="170" t="s">
        <v>2615</v>
      </c>
      <c r="C553" s="170" t="s">
        <v>942</v>
      </c>
      <c r="D553" s="3" t="s">
        <v>943</v>
      </c>
      <c r="E553" s="4" t="s">
        <v>15</v>
      </c>
      <c r="F553" s="5" t="s">
        <v>944</v>
      </c>
      <c r="G553" s="5">
        <v>86.86</v>
      </c>
      <c r="H553" s="8">
        <f t="shared" si="63"/>
        <v>48207.3</v>
      </c>
    </row>
    <row r="554" spans="2:8" ht="15" customHeight="1">
      <c r="B554" s="170"/>
      <c r="C554" s="170"/>
      <c r="D554" s="193" t="s">
        <v>1190</v>
      </c>
      <c r="E554" s="194"/>
      <c r="F554" s="195"/>
      <c r="G554" s="195"/>
      <c r="H554" s="196">
        <f>SUM(H551:H553)</f>
        <v>56797.66</v>
      </c>
    </row>
    <row r="555" spans="2:8" s="134" customFormat="1" ht="15" customHeight="1">
      <c r="B555" s="163" t="s">
        <v>945</v>
      </c>
      <c r="C555" s="163"/>
      <c r="D555" s="164" t="s">
        <v>946</v>
      </c>
      <c r="E555" s="164"/>
      <c r="F555" s="164"/>
      <c r="G555" s="164"/>
      <c r="H555" s="198" t="s">
        <v>1154</v>
      </c>
    </row>
    <row r="556" spans="2:8" s="134" customFormat="1" ht="15" customHeight="1">
      <c r="B556" s="169" t="s">
        <v>947</v>
      </c>
      <c r="C556" s="169"/>
      <c r="D556" s="187" t="s">
        <v>948</v>
      </c>
      <c r="E556" s="187"/>
      <c r="F556" s="187"/>
      <c r="G556" s="187"/>
      <c r="H556" s="190" t="s">
        <v>1154</v>
      </c>
    </row>
    <row r="557" spans="2:8" ht="25.5">
      <c r="B557" s="170" t="s">
        <v>2616</v>
      </c>
      <c r="C557" s="170" t="s">
        <v>2129</v>
      </c>
      <c r="D557" s="136" t="s">
        <v>949</v>
      </c>
      <c r="E557" s="4" t="s">
        <v>37</v>
      </c>
      <c r="F557" s="5" t="s">
        <v>38</v>
      </c>
      <c r="G557" s="5">
        <f>CPU!H1419</f>
        <v>4008.26</v>
      </c>
      <c r="H557" s="8">
        <f t="shared" ref="H557:H561" si="64">TRUNC(F557*G557,(2))</f>
        <v>4008.26</v>
      </c>
    </row>
    <row r="558" spans="2:8" ht="27.75" customHeight="1">
      <c r="B558" s="170" t="s">
        <v>2617</v>
      </c>
      <c r="C558" s="170" t="s">
        <v>2131</v>
      </c>
      <c r="D558" s="3" t="s">
        <v>950</v>
      </c>
      <c r="E558" s="4" t="s">
        <v>37</v>
      </c>
      <c r="F558" s="5" t="s">
        <v>588</v>
      </c>
      <c r="G558" s="5">
        <f>CPU!H1434</f>
        <v>297.34257999999994</v>
      </c>
      <c r="H558" s="8">
        <f t="shared" si="64"/>
        <v>1486.71</v>
      </c>
    </row>
    <row r="559" spans="2:8" ht="30" customHeight="1">
      <c r="B559" s="170" t="s">
        <v>2618</v>
      </c>
      <c r="C559" s="170" t="s">
        <v>2134</v>
      </c>
      <c r="D559" s="3" t="s">
        <v>951</v>
      </c>
      <c r="E559" s="4" t="s">
        <v>37</v>
      </c>
      <c r="F559" s="5" t="s">
        <v>38</v>
      </c>
      <c r="G559" s="5">
        <f>CPU!H1449</f>
        <v>1752.2546179999999</v>
      </c>
      <c r="H559" s="8">
        <f t="shared" si="64"/>
        <v>1752.25</v>
      </c>
    </row>
    <row r="560" spans="2:8" ht="25.5">
      <c r="B560" s="170" t="s">
        <v>2619</v>
      </c>
      <c r="C560" s="170" t="s">
        <v>2224</v>
      </c>
      <c r="D560" s="3" t="s">
        <v>952</v>
      </c>
      <c r="E560" s="4" t="s">
        <v>37</v>
      </c>
      <c r="F560" s="5" t="s">
        <v>38</v>
      </c>
      <c r="G560" s="5">
        <v>890.83</v>
      </c>
      <c r="H560" s="8">
        <f t="shared" si="64"/>
        <v>890.83</v>
      </c>
    </row>
    <row r="561" spans="2:8" ht="24.75" customHeight="1">
      <c r="B561" s="170" t="s">
        <v>2620</v>
      </c>
      <c r="C561" s="170" t="s">
        <v>2225</v>
      </c>
      <c r="D561" s="3" t="s">
        <v>953</v>
      </c>
      <c r="E561" s="4" t="s">
        <v>37</v>
      </c>
      <c r="F561" s="5" t="s">
        <v>38</v>
      </c>
      <c r="G561" s="5">
        <v>366.67</v>
      </c>
      <c r="H561" s="8">
        <f t="shared" si="64"/>
        <v>366.67</v>
      </c>
    </row>
    <row r="562" spans="2:8" s="134" customFormat="1" ht="15" customHeight="1">
      <c r="B562" s="169" t="s">
        <v>954</v>
      </c>
      <c r="C562" s="169"/>
      <c r="D562" s="187" t="s">
        <v>955</v>
      </c>
      <c r="E562" s="187"/>
      <c r="F562" s="187"/>
      <c r="G562" s="187"/>
      <c r="H562" s="190" t="s">
        <v>1154</v>
      </c>
    </row>
    <row r="563" spans="2:8" ht="51">
      <c r="B563" s="170" t="s">
        <v>2621</v>
      </c>
      <c r="C563" s="170" t="s">
        <v>2226</v>
      </c>
      <c r="D563" s="3" t="s">
        <v>956</v>
      </c>
      <c r="E563" s="4" t="s">
        <v>37</v>
      </c>
      <c r="F563" s="5" t="s">
        <v>38</v>
      </c>
      <c r="G563" s="5">
        <v>237.99</v>
      </c>
      <c r="H563" s="8">
        <f t="shared" ref="H563:H564" si="65">TRUNC(F563*G563,(2))</f>
        <v>237.99</v>
      </c>
    </row>
    <row r="564" spans="2:8" ht="51">
      <c r="B564" s="170" t="s">
        <v>2622</v>
      </c>
      <c r="C564" s="170" t="s">
        <v>2227</v>
      </c>
      <c r="D564" s="3" t="s">
        <v>957</v>
      </c>
      <c r="E564" s="4" t="s">
        <v>37</v>
      </c>
      <c r="F564" s="5" t="s">
        <v>583</v>
      </c>
      <c r="G564" s="5">
        <v>126.71</v>
      </c>
      <c r="H564" s="8">
        <f t="shared" si="65"/>
        <v>760.26</v>
      </c>
    </row>
    <row r="565" spans="2:8" s="134" customFormat="1" ht="15" customHeight="1">
      <c r="B565" s="169" t="s">
        <v>958</v>
      </c>
      <c r="C565" s="169"/>
      <c r="D565" s="187" t="s">
        <v>959</v>
      </c>
      <c r="E565" s="187"/>
      <c r="F565" s="187"/>
      <c r="G565" s="187"/>
      <c r="H565" s="190" t="s">
        <v>1154</v>
      </c>
    </row>
    <row r="566" spans="2:8" ht="38.25">
      <c r="B566" s="170" t="s">
        <v>2623</v>
      </c>
      <c r="C566" s="170" t="s">
        <v>2102</v>
      </c>
      <c r="D566" s="3" t="s">
        <v>891</v>
      </c>
      <c r="E566" s="4" t="s">
        <v>15</v>
      </c>
      <c r="F566" s="5">
        <v>12</v>
      </c>
      <c r="G566" s="5">
        <f>CPU!H1271</f>
        <v>68.001833622109459</v>
      </c>
      <c r="H566" s="8">
        <f t="shared" ref="H566:H580" si="66">TRUNC(F566*G566,(2))</f>
        <v>816.02</v>
      </c>
    </row>
    <row r="567" spans="2:8" ht="38.25">
      <c r="B567" s="170" t="s">
        <v>2624</v>
      </c>
      <c r="C567" s="170" t="s">
        <v>2110</v>
      </c>
      <c r="D567" s="3" t="s">
        <v>892</v>
      </c>
      <c r="E567" s="4" t="s">
        <v>15</v>
      </c>
      <c r="F567" s="5" t="s">
        <v>583</v>
      </c>
      <c r="G567" s="5">
        <f>CPU!H1286</f>
        <v>60.591741317607564</v>
      </c>
      <c r="H567" s="8">
        <f t="shared" si="66"/>
        <v>363.55</v>
      </c>
    </row>
    <row r="568" spans="2:8" ht="27.75" customHeight="1">
      <c r="B568" s="170" t="s">
        <v>2625</v>
      </c>
      <c r="C568" s="170" t="s">
        <v>2135</v>
      </c>
      <c r="D568" s="3" t="s">
        <v>960</v>
      </c>
      <c r="E568" s="4" t="s">
        <v>15</v>
      </c>
      <c r="F568" s="5" t="s">
        <v>583</v>
      </c>
      <c r="G568" s="5">
        <f>CPU!H1464</f>
        <v>66.905845788259455</v>
      </c>
      <c r="H568" s="8">
        <f t="shared" si="66"/>
        <v>401.43</v>
      </c>
    </row>
    <row r="569" spans="2:8" ht="27.75" customHeight="1">
      <c r="B569" s="170" t="s">
        <v>2626</v>
      </c>
      <c r="C569" s="170" t="s">
        <v>2117</v>
      </c>
      <c r="D569" s="3" t="s">
        <v>894</v>
      </c>
      <c r="E569" s="4" t="s">
        <v>15</v>
      </c>
      <c r="F569" s="5">
        <v>10</v>
      </c>
      <c r="G569" s="5">
        <f>CPU!H1316</f>
        <v>88.528310984653345</v>
      </c>
      <c r="H569" s="8">
        <f t="shared" si="66"/>
        <v>885.28</v>
      </c>
    </row>
    <row r="570" spans="2:8" ht="38.25">
      <c r="B570" s="170" t="s">
        <v>2627</v>
      </c>
      <c r="C570" s="170" t="s">
        <v>2138</v>
      </c>
      <c r="D570" s="3" t="s">
        <v>961</v>
      </c>
      <c r="E570" s="4" t="s">
        <v>15</v>
      </c>
      <c r="F570" s="5" t="s">
        <v>593</v>
      </c>
      <c r="G570" s="5">
        <f>CPU!H1480</f>
        <v>93.327847451253348</v>
      </c>
      <c r="H570" s="8">
        <f t="shared" si="66"/>
        <v>653.29</v>
      </c>
    </row>
    <row r="571" spans="2:8" ht="38.25">
      <c r="B571" s="170" t="s">
        <v>2628</v>
      </c>
      <c r="C571" s="170" t="s">
        <v>2194</v>
      </c>
      <c r="D571" s="3" t="s">
        <v>699</v>
      </c>
      <c r="E571" s="4" t="s">
        <v>24</v>
      </c>
      <c r="F571" s="5">
        <v>8.6</v>
      </c>
      <c r="G571" s="5">
        <f>CPU!H993</f>
        <v>22.484903649589999</v>
      </c>
      <c r="H571" s="8">
        <f t="shared" si="66"/>
        <v>193.37</v>
      </c>
    </row>
    <row r="572" spans="2:8" ht="38.25">
      <c r="B572" s="170" t="s">
        <v>2629</v>
      </c>
      <c r="C572" s="170" t="s">
        <v>840</v>
      </c>
      <c r="D572" s="3" t="s">
        <v>841</v>
      </c>
      <c r="E572" s="4" t="s">
        <v>15</v>
      </c>
      <c r="F572" s="5" t="s">
        <v>962</v>
      </c>
      <c r="G572" s="5">
        <v>15.33</v>
      </c>
      <c r="H572" s="8">
        <f t="shared" si="66"/>
        <v>7312.41</v>
      </c>
    </row>
    <row r="573" spans="2:8" ht="38.25">
      <c r="B573" s="170" t="s">
        <v>2630</v>
      </c>
      <c r="C573" s="170" t="s">
        <v>842</v>
      </c>
      <c r="D573" s="3" t="s">
        <v>843</v>
      </c>
      <c r="E573" s="4" t="s">
        <v>15</v>
      </c>
      <c r="F573" s="5" t="s">
        <v>46</v>
      </c>
      <c r="G573" s="5">
        <v>19.760000000000002</v>
      </c>
      <c r="H573" s="8">
        <f t="shared" si="66"/>
        <v>316.16000000000003</v>
      </c>
    </row>
    <row r="574" spans="2:8" ht="40.5" customHeight="1">
      <c r="B574" s="170" t="s">
        <v>2631</v>
      </c>
      <c r="C574" s="170" t="s">
        <v>963</v>
      </c>
      <c r="D574" s="3" t="s">
        <v>964</v>
      </c>
      <c r="E574" s="4" t="s">
        <v>37</v>
      </c>
      <c r="F574" s="5" t="s">
        <v>965</v>
      </c>
      <c r="G574" s="5">
        <v>17.75</v>
      </c>
      <c r="H574" s="8">
        <f t="shared" si="66"/>
        <v>2236.5</v>
      </c>
    </row>
    <row r="575" spans="2:8" ht="39" customHeight="1">
      <c r="B575" s="170" t="s">
        <v>2632</v>
      </c>
      <c r="C575" s="170" t="s">
        <v>966</v>
      </c>
      <c r="D575" s="3" t="s">
        <v>967</v>
      </c>
      <c r="E575" s="4" t="s">
        <v>37</v>
      </c>
      <c r="F575" s="5" t="s">
        <v>49</v>
      </c>
      <c r="G575" s="5">
        <v>21.14</v>
      </c>
      <c r="H575" s="8">
        <f t="shared" si="66"/>
        <v>84.56</v>
      </c>
    </row>
    <row r="576" spans="2:8" ht="25.5">
      <c r="B576" s="170" t="s">
        <v>2633</v>
      </c>
      <c r="C576" s="170" t="s">
        <v>849</v>
      </c>
      <c r="D576" s="3" t="s">
        <v>850</v>
      </c>
      <c r="E576" s="4" t="s">
        <v>15</v>
      </c>
      <c r="F576" s="5" t="s">
        <v>968</v>
      </c>
      <c r="G576" s="5">
        <v>20.12</v>
      </c>
      <c r="H576" s="8">
        <f t="shared" si="66"/>
        <v>1649.84</v>
      </c>
    </row>
    <row r="577" spans="2:8" ht="25.5">
      <c r="B577" s="170" t="s">
        <v>2634</v>
      </c>
      <c r="C577" s="170" t="s">
        <v>969</v>
      </c>
      <c r="D577" s="3" t="s">
        <v>970</v>
      </c>
      <c r="E577" s="4" t="s">
        <v>15</v>
      </c>
      <c r="F577" s="5" t="s">
        <v>971</v>
      </c>
      <c r="G577" s="5">
        <v>42.7</v>
      </c>
      <c r="H577" s="8">
        <f t="shared" si="66"/>
        <v>4013.8</v>
      </c>
    </row>
    <row r="578" spans="2:8" ht="30" customHeight="1">
      <c r="B578" s="170" t="s">
        <v>2635</v>
      </c>
      <c r="C578" s="170" t="s">
        <v>854</v>
      </c>
      <c r="D578" s="3" t="s">
        <v>855</v>
      </c>
      <c r="E578" s="4" t="s">
        <v>37</v>
      </c>
      <c r="F578" s="5" t="s">
        <v>667</v>
      </c>
      <c r="G578" s="5">
        <v>23.95</v>
      </c>
      <c r="H578" s="8">
        <f t="shared" si="66"/>
        <v>311.35000000000002</v>
      </c>
    </row>
    <row r="579" spans="2:8" ht="28.5" customHeight="1">
      <c r="B579" s="170" t="s">
        <v>2636</v>
      </c>
      <c r="C579" s="170" t="s">
        <v>972</v>
      </c>
      <c r="D579" s="3" t="s">
        <v>973</v>
      </c>
      <c r="E579" s="4" t="s">
        <v>37</v>
      </c>
      <c r="F579" s="5" t="s">
        <v>367</v>
      </c>
      <c r="G579" s="5">
        <v>55.59</v>
      </c>
      <c r="H579" s="8">
        <f t="shared" si="66"/>
        <v>111.18</v>
      </c>
    </row>
    <row r="580" spans="2:8" ht="63.75">
      <c r="B580" s="170" t="s">
        <v>2637</v>
      </c>
      <c r="C580" s="170" t="s">
        <v>974</v>
      </c>
      <c r="D580" s="3" t="s">
        <v>975</v>
      </c>
      <c r="E580" s="4" t="s">
        <v>37</v>
      </c>
      <c r="F580" s="5" t="s">
        <v>367</v>
      </c>
      <c r="G580" s="5">
        <v>272.51</v>
      </c>
      <c r="H580" s="8">
        <f t="shared" si="66"/>
        <v>545.02</v>
      </c>
    </row>
    <row r="581" spans="2:8" s="134" customFormat="1" ht="15" customHeight="1">
      <c r="B581" s="169" t="s">
        <v>976</v>
      </c>
      <c r="C581" s="169"/>
      <c r="D581" s="187" t="s">
        <v>857</v>
      </c>
      <c r="E581" s="187"/>
      <c r="F581" s="187"/>
      <c r="G581" s="187"/>
      <c r="H581" s="190" t="s">
        <v>1154</v>
      </c>
    </row>
    <row r="582" spans="2:8" ht="25.5">
      <c r="B582" s="170" t="s">
        <v>2638</v>
      </c>
      <c r="C582" s="170" t="s">
        <v>2139</v>
      </c>
      <c r="D582" s="136" t="s">
        <v>977</v>
      </c>
      <c r="E582" s="4" t="s">
        <v>15</v>
      </c>
      <c r="F582" s="5" t="s">
        <v>978</v>
      </c>
      <c r="G582" s="5">
        <f>CPU!H1486</f>
        <v>71.864999999999995</v>
      </c>
      <c r="H582" s="8">
        <f t="shared" ref="H582:H585" si="67">TRUNC(F582*G582,(2))</f>
        <v>8336.34</v>
      </c>
    </row>
    <row r="583" spans="2:8" ht="15" customHeight="1">
      <c r="B583" s="170" t="s">
        <v>2639</v>
      </c>
      <c r="C583" s="170" t="s">
        <v>2840</v>
      </c>
      <c r="D583" s="3" t="s">
        <v>2202</v>
      </c>
      <c r="E583" s="4" t="s">
        <v>15</v>
      </c>
      <c r="F583" s="5" t="s">
        <v>979</v>
      </c>
      <c r="G583" s="5">
        <v>1.1000000000000001</v>
      </c>
      <c r="H583" s="8">
        <f t="shared" si="67"/>
        <v>117.7</v>
      </c>
    </row>
    <row r="584" spans="2:8" ht="25.5" customHeight="1">
      <c r="B584" s="170" t="s">
        <v>2640</v>
      </c>
      <c r="C584" s="170" t="s">
        <v>980</v>
      </c>
      <c r="D584" s="3" t="s">
        <v>981</v>
      </c>
      <c r="E584" s="4" t="s">
        <v>15</v>
      </c>
      <c r="F584" s="5" t="s">
        <v>982</v>
      </c>
      <c r="G584" s="5">
        <v>20.52</v>
      </c>
      <c r="H584" s="8">
        <f t="shared" si="67"/>
        <v>2831.76</v>
      </c>
    </row>
    <row r="585" spans="2:8" ht="38.25">
      <c r="B585" s="170" t="s">
        <v>2641</v>
      </c>
      <c r="C585" s="170" t="s">
        <v>983</v>
      </c>
      <c r="D585" s="3" t="s">
        <v>984</v>
      </c>
      <c r="E585" s="4" t="s">
        <v>15</v>
      </c>
      <c r="F585" s="5" t="s">
        <v>985</v>
      </c>
      <c r="G585" s="5">
        <v>8.43</v>
      </c>
      <c r="H585" s="8">
        <f t="shared" si="67"/>
        <v>18748.32</v>
      </c>
    </row>
    <row r="586" spans="2:8" s="134" customFormat="1" ht="15" customHeight="1">
      <c r="B586" s="170"/>
      <c r="C586" s="170"/>
      <c r="D586" s="193" t="s">
        <v>1191</v>
      </c>
      <c r="E586" s="194"/>
      <c r="F586" s="195"/>
      <c r="G586" s="195"/>
      <c r="H586" s="196">
        <f>SUM(H557:H585)</f>
        <v>59430.85</v>
      </c>
    </row>
    <row r="587" spans="2:8" s="134" customFormat="1" ht="15" customHeight="1">
      <c r="B587" s="163" t="s">
        <v>986</v>
      </c>
      <c r="C587" s="163"/>
      <c r="D587" s="164" t="s">
        <v>987</v>
      </c>
      <c r="E587" s="164"/>
      <c r="F587" s="164"/>
      <c r="G587" s="164"/>
      <c r="H587" s="198" t="s">
        <v>1154</v>
      </c>
    </row>
    <row r="588" spans="2:8" s="134" customFormat="1" ht="15" customHeight="1">
      <c r="B588" s="169" t="s">
        <v>988</v>
      </c>
      <c r="C588" s="169"/>
      <c r="D588" s="187" t="s">
        <v>989</v>
      </c>
      <c r="E588" s="187"/>
      <c r="F588" s="187"/>
      <c r="G588" s="187"/>
      <c r="H588" s="190" t="s">
        <v>1154</v>
      </c>
    </row>
    <row r="589" spans="2:8" ht="25.5">
      <c r="B589" s="170" t="s">
        <v>2642</v>
      </c>
      <c r="C589" s="170" t="s">
        <v>2140</v>
      </c>
      <c r="D589" s="136" t="s">
        <v>990</v>
      </c>
      <c r="E589" s="4" t="s">
        <v>37</v>
      </c>
      <c r="F589" s="5" t="s">
        <v>38</v>
      </c>
      <c r="G589" s="5">
        <f>CPU!H1491</f>
        <v>1174.596252</v>
      </c>
      <c r="H589" s="8">
        <f>TRUNC(F589*G589,(2))</f>
        <v>1174.5899999999999</v>
      </c>
    </row>
    <row r="590" spans="2:8" s="134" customFormat="1" ht="15" customHeight="1">
      <c r="B590" s="169" t="s">
        <v>991</v>
      </c>
      <c r="C590" s="169"/>
      <c r="D590" s="187" t="s">
        <v>992</v>
      </c>
      <c r="E590" s="187"/>
      <c r="F590" s="187"/>
      <c r="G590" s="187"/>
      <c r="H590" s="190" t="s">
        <v>1154</v>
      </c>
    </row>
    <row r="591" spans="2:8" ht="15" customHeight="1">
      <c r="B591" s="170" t="s">
        <v>2643</v>
      </c>
      <c r="C591" s="170" t="s">
        <v>993</v>
      </c>
      <c r="D591" s="136" t="s">
        <v>994</v>
      </c>
      <c r="E591" s="4" t="s">
        <v>37</v>
      </c>
      <c r="F591" s="5" t="s">
        <v>614</v>
      </c>
      <c r="G591" s="195">
        <v>283.26</v>
      </c>
      <c r="H591" s="8">
        <f t="shared" ref="H591:H594" si="68">TRUNC(F591*G591,(2))</f>
        <v>5948.46</v>
      </c>
    </row>
    <row r="592" spans="2:8" ht="15" customHeight="1">
      <c r="B592" s="170" t="s">
        <v>2644</v>
      </c>
      <c r="C592" s="170" t="s">
        <v>995</v>
      </c>
      <c r="D592" s="136" t="s">
        <v>996</v>
      </c>
      <c r="E592" s="4" t="s">
        <v>37</v>
      </c>
      <c r="F592" s="5" t="s">
        <v>289</v>
      </c>
      <c r="G592" s="195">
        <v>192.23</v>
      </c>
      <c r="H592" s="8">
        <f t="shared" si="68"/>
        <v>4229.0600000000004</v>
      </c>
    </row>
    <row r="593" spans="2:8" ht="15" customHeight="1">
      <c r="B593" s="170" t="s">
        <v>2645</v>
      </c>
      <c r="C593" s="170" t="s">
        <v>997</v>
      </c>
      <c r="D593" s="136" t="s">
        <v>998</v>
      </c>
      <c r="E593" s="4" t="s">
        <v>37</v>
      </c>
      <c r="F593" s="5" t="s">
        <v>611</v>
      </c>
      <c r="G593" s="195">
        <v>213.52</v>
      </c>
      <c r="H593" s="8">
        <f t="shared" si="68"/>
        <v>1708.16</v>
      </c>
    </row>
    <row r="594" spans="2:8" ht="15" customHeight="1">
      <c r="B594" s="170" t="s">
        <v>2646</v>
      </c>
      <c r="C594" s="170" t="s">
        <v>999</v>
      </c>
      <c r="D594" s="136" t="s">
        <v>1000</v>
      </c>
      <c r="E594" s="4" t="s">
        <v>37</v>
      </c>
      <c r="F594" s="5" t="s">
        <v>607</v>
      </c>
      <c r="G594" s="195">
        <v>213.52</v>
      </c>
      <c r="H594" s="8">
        <f t="shared" si="68"/>
        <v>32028</v>
      </c>
    </row>
    <row r="595" spans="2:8" s="134" customFormat="1" ht="15" customHeight="1">
      <c r="B595" s="169" t="s">
        <v>1001</v>
      </c>
      <c r="C595" s="169"/>
      <c r="D595" s="187" t="s">
        <v>805</v>
      </c>
      <c r="E595" s="187"/>
      <c r="F595" s="187"/>
      <c r="G595" s="187"/>
      <c r="H595" s="190" t="s">
        <v>1154</v>
      </c>
    </row>
    <row r="596" spans="2:8" ht="38.25">
      <c r="B596" s="170" t="s">
        <v>2647</v>
      </c>
      <c r="C596" s="170" t="s">
        <v>2194</v>
      </c>
      <c r="D596" s="3" t="s">
        <v>699</v>
      </c>
      <c r="E596" s="4" t="s">
        <v>24</v>
      </c>
      <c r="F596" s="5" t="s">
        <v>978</v>
      </c>
      <c r="G596" s="5">
        <f>CPU!H993</f>
        <v>22.484903649589999</v>
      </c>
      <c r="H596" s="8">
        <f t="shared" ref="H596:H606" si="69">TRUNC(F596*G596,(2))</f>
        <v>2608.2399999999998</v>
      </c>
    </row>
    <row r="597" spans="2:8" ht="38.25">
      <c r="B597" s="170" t="s">
        <v>2648</v>
      </c>
      <c r="C597" s="170" t="s">
        <v>840</v>
      </c>
      <c r="D597" s="3" t="s">
        <v>841</v>
      </c>
      <c r="E597" s="4" t="s">
        <v>15</v>
      </c>
      <c r="F597" s="5" t="s">
        <v>700</v>
      </c>
      <c r="G597" s="5">
        <v>15.33</v>
      </c>
      <c r="H597" s="8">
        <f t="shared" si="69"/>
        <v>1119.0899999999999</v>
      </c>
    </row>
    <row r="598" spans="2:8" ht="38.25">
      <c r="B598" s="170" t="s">
        <v>2649</v>
      </c>
      <c r="C598" s="170" t="s">
        <v>842</v>
      </c>
      <c r="D598" s="3" t="s">
        <v>843</v>
      </c>
      <c r="E598" s="4" t="s">
        <v>15</v>
      </c>
      <c r="F598" s="5" t="s">
        <v>1002</v>
      </c>
      <c r="G598" s="5">
        <v>19.760000000000002</v>
      </c>
      <c r="H598" s="8">
        <f t="shared" si="69"/>
        <v>1482</v>
      </c>
    </row>
    <row r="599" spans="2:8" ht="39.75" customHeight="1">
      <c r="B599" s="170" t="s">
        <v>2650</v>
      </c>
      <c r="C599" s="170" t="s">
        <v>963</v>
      </c>
      <c r="D599" s="3" t="s">
        <v>964</v>
      </c>
      <c r="E599" s="4" t="s">
        <v>37</v>
      </c>
      <c r="F599" s="5" t="s">
        <v>593</v>
      </c>
      <c r="G599" s="5">
        <v>17.75</v>
      </c>
      <c r="H599" s="8">
        <f t="shared" si="69"/>
        <v>124.25</v>
      </c>
    </row>
    <row r="600" spans="2:8" ht="40.5" customHeight="1">
      <c r="B600" s="170" t="s">
        <v>2651</v>
      </c>
      <c r="C600" s="170" t="s">
        <v>966</v>
      </c>
      <c r="D600" s="3" t="s">
        <v>967</v>
      </c>
      <c r="E600" s="4" t="s">
        <v>37</v>
      </c>
      <c r="F600" s="5" t="s">
        <v>575</v>
      </c>
      <c r="G600" s="5">
        <v>21.14</v>
      </c>
      <c r="H600" s="8">
        <f t="shared" si="69"/>
        <v>190.26</v>
      </c>
    </row>
    <row r="601" spans="2:8" ht="41.25" customHeight="1">
      <c r="B601" s="170" t="s">
        <v>2652</v>
      </c>
      <c r="C601" s="170" t="s">
        <v>1003</v>
      </c>
      <c r="D601" s="3" t="s">
        <v>1004</v>
      </c>
      <c r="E601" s="4" t="s">
        <v>15</v>
      </c>
      <c r="F601" s="5" t="s">
        <v>1005</v>
      </c>
      <c r="G601" s="432">
        <f>29.22*1.2173</f>
        <v>35.569505999999997</v>
      </c>
      <c r="H601" s="8">
        <f t="shared" si="69"/>
        <v>33933.300000000003</v>
      </c>
    </row>
    <row r="602" spans="2:8" ht="38.25">
      <c r="B602" s="170" t="s">
        <v>2653</v>
      </c>
      <c r="C602" s="170" t="s">
        <v>1006</v>
      </c>
      <c r="D602" s="3" t="s">
        <v>1007</v>
      </c>
      <c r="E602" s="4" t="s">
        <v>15</v>
      </c>
      <c r="F602" s="5" t="s">
        <v>1008</v>
      </c>
      <c r="G602" s="432">
        <f>34.72*1.2173</f>
        <v>42.264656000000002</v>
      </c>
      <c r="H602" s="8">
        <f t="shared" si="69"/>
        <v>17117.18</v>
      </c>
    </row>
    <row r="603" spans="2:8" ht="37.5" customHeight="1">
      <c r="B603" s="170" t="s">
        <v>2654</v>
      </c>
      <c r="C603" s="170" t="s">
        <v>1009</v>
      </c>
      <c r="D603" s="3" t="s">
        <v>1010</v>
      </c>
      <c r="E603" s="4" t="s">
        <v>15</v>
      </c>
      <c r="F603" s="5" t="s">
        <v>1011</v>
      </c>
      <c r="G603" s="432">
        <f>53.9*1.2173</f>
        <v>65.612470000000002</v>
      </c>
      <c r="H603" s="8">
        <f t="shared" si="69"/>
        <v>4855.32</v>
      </c>
    </row>
    <row r="604" spans="2:8" ht="38.25" customHeight="1">
      <c r="B604" s="170" t="s">
        <v>2655</v>
      </c>
      <c r="C604" s="170" t="s">
        <v>1012</v>
      </c>
      <c r="D604" s="3" t="s">
        <v>1013</v>
      </c>
      <c r="E604" s="4" t="s">
        <v>37</v>
      </c>
      <c r="F604" s="5" t="s">
        <v>1014</v>
      </c>
      <c r="G604" s="5">
        <v>29.28</v>
      </c>
      <c r="H604" s="8">
        <f t="shared" si="69"/>
        <v>4099.2</v>
      </c>
    </row>
    <row r="605" spans="2:8" ht="38.25" customHeight="1">
      <c r="B605" s="170" t="s">
        <v>2656</v>
      </c>
      <c r="C605" s="170" t="s">
        <v>1015</v>
      </c>
      <c r="D605" s="3" t="s">
        <v>1016</v>
      </c>
      <c r="E605" s="4" t="s">
        <v>37</v>
      </c>
      <c r="F605" s="5" t="s">
        <v>913</v>
      </c>
      <c r="G605" s="5">
        <v>41.13</v>
      </c>
      <c r="H605" s="8">
        <f t="shared" si="69"/>
        <v>5552.55</v>
      </c>
    </row>
    <row r="606" spans="2:8" ht="42" customHeight="1">
      <c r="B606" s="170" t="s">
        <v>2657</v>
      </c>
      <c r="C606" s="170" t="s">
        <v>1017</v>
      </c>
      <c r="D606" s="3" t="s">
        <v>1018</v>
      </c>
      <c r="E606" s="4" t="s">
        <v>37</v>
      </c>
      <c r="F606" s="5" t="s">
        <v>583</v>
      </c>
      <c r="G606" s="5">
        <v>56.88</v>
      </c>
      <c r="H606" s="8">
        <f t="shared" si="69"/>
        <v>341.28</v>
      </c>
    </row>
    <row r="607" spans="2:8" s="134" customFormat="1" ht="15" customHeight="1">
      <c r="B607" s="169" t="s">
        <v>1019</v>
      </c>
      <c r="C607" s="169"/>
      <c r="D607" s="187" t="s">
        <v>857</v>
      </c>
      <c r="E607" s="187"/>
      <c r="F607" s="187"/>
      <c r="G607" s="187"/>
      <c r="H607" s="190" t="s">
        <v>1154</v>
      </c>
    </row>
    <row r="608" spans="2:8" ht="25.5">
      <c r="B608" s="170" t="s">
        <v>2658</v>
      </c>
      <c r="C608" s="170" t="s">
        <v>2142</v>
      </c>
      <c r="D608" s="136" t="s">
        <v>1020</v>
      </c>
      <c r="E608" s="4" t="s">
        <v>15</v>
      </c>
      <c r="F608" s="5" t="s">
        <v>1021</v>
      </c>
      <c r="G608" s="5">
        <f>CPU!H1497</f>
        <v>8.0640000000000001</v>
      </c>
      <c r="H608" s="8">
        <f t="shared" ref="H608:H609" si="70">TRUNC(F608*G608,(2))</f>
        <v>4548.09</v>
      </c>
    </row>
    <row r="609" spans="2:8" ht="25.5">
      <c r="B609" s="170" t="s">
        <v>2659</v>
      </c>
      <c r="C609" s="170" t="s">
        <v>2143</v>
      </c>
      <c r="D609" s="136" t="s">
        <v>1022</v>
      </c>
      <c r="E609" s="4" t="s">
        <v>15</v>
      </c>
      <c r="F609" s="5" t="s">
        <v>1023</v>
      </c>
      <c r="G609" s="5">
        <f>CPU!H1503</f>
        <v>9.3659999999999997</v>
      </c>
      <c r="H609" s="8">
        <f t="shared" si="70"/>
        <v>8616.7199999999993</v>
      </c>
    </row>
    <row r="610" spans="2:8" s="134" customFormat="1" ht="15" customHeight="1">
      <c r="B610" s="169" t="s">
        <v>1024</v>
      </c>
      <c r="C610" s="169"/>
      <c r="D610" s="187" t="s">
        <v>1025</v>
      </c>
      <c r="E610" s="187"/>
      <c r="F610" s="187"/>
      <c r="G610" s="187"/>
      <c r="H610" s="190" t="s">
        <v>1154</v>
      </c>
    </row>
    <row r="611" spans="2:8" ht="25.5">
      <c r="B611" s="170" t="s">
        <v>2660</v>
      </c>
      <c r="C611" s="170" t="s">
        <v>2144</v>
      </c>
      <c r="D611" s="136" t="s">
        <v>1026</v>
      </c>
      <c r="E611" s="4" t="s">
        <v>37</v>
      </c>
      <c r="F611" s="5" t="s">
        <v>49</v>
      </c>
      <c r="G611" s="5">
        <f>CPU!H1509</f>
        <v>217.95839100000001</v>
      </c>
      <c r="H611" s="8">
        <f t="shared" ref="H611:H616" si="71">TRUNC(F611*G611,(2))</f>
        <v>871.83</v>
      </c>
    </row>
    <row r="612" spans="2:8" ht="38.25">
      <c r="B612" s="170" t="s">
        <v>2661</v>
      </c>
      <c r="C612" s="170">
        <v>37556</v>
      </c>
      <c r="D612" s="3" t="s">
        <v>1027</v>
      </c>
      <c r="E612" s="4" t="s">
        <v>37</v>
      </c>
      <c r="F612" s="5" t="s">
        <v>1002</v>
      </c>
      <c r="G612" s="5">
        <v>23.13</v>
      </c>
      <c r="H612" s="8">
        <f t="shared" si="71"/>
        <v>1734.75</v>
      </c>
    </row>
    <row r="613" spans="2:8" ht="39.75" customHeight="1">
      <c r="B613" s="170" t="s">
        <v>2662</v>
      </c>
      <c r="C613" s="170">
        <v>37559</v>
      </c>
      <c r="D613" s="3" t="s">
        <v>1028</v>
      </c>
      <c r="E613" s="4" t="s">
        <v>37</v>
      </c>
      <c r="F613" s="5" t="s">
        <v>49</v>
      </c>
      <c r="G613" s="5">
        <v>28.37</v>
      </c>
      <c r="H613" s="8">
        <f t="shared" si="71"/>
        <v>113.48</v>
      </c>
    </row>
    <row r="614" spans="2:8" ht="38.25">
      <c r="B614" s="170" t="s">
        <v>2663</v>
      </c>
      <c r="C614" s="170">
        <v>37560</v>
      </c>
      <c r="D614" s="3" t="s">
        <v>1029</v>
      </c>
      <c r="E614" s="4" t="s">
        <v>37</v>
      </c>
      <c r="F614" s="5" t="s">
        <v>1030</v>
      </c>
      <c r="G614" s="5">
        <v>39.369999999999997</v>
      </c>
      <c r="H614" s="8">
        <f t="shared" si="71"/>
        <v>5275.58</v>
      </c>
    </row>
    <row r="615" spans="2:8" ht="38.25">
      <c r="B615" s="170" t="s">
        <v>2664</v>
      </c>
      <c r="C615" s="170">
        <v>37561</v>
      </c>
      <c r="D615" s="3" t="s">
        <v>1031</v>
      </c>
      <c r="E615" s="4" t="s">
        <v>37</v>
      </c>
      <c r="F615" s="5" t="s">
        <v>583</v>
      </c>
      <c r="G615" s="432">
        <f>63.25*1.2173</f>
        <v>76.994225</v>
      </c>
      <c r="H615" s="8">
        <f t="shared" si="71"/>
        <v>461.96</v>
      </c>
    </row>
    <row r="616" spans="2:8" ht="25.5">
      <c r="B616" s="170" t="s">
        <v>2665</v>
      </c>
      <c r="C616" s="170" t="s">
        <v>911</v>
      </c>
      <c r="D616" s="3" t="s">
        <v>912</v>
      </c>
      <c r="E616" s="4" t="s">
        <v>37</v>
      </c>
      <c r="F616" s="5" t="s">
        <v>913</v>
      </c>
      <c r="G616" s="5">
        <v>26.87</v>
      </c>
      <c r="H616" s="8">
        <f t="shared" si="71"/>
        <v>3627.45</v>
      </c>
    </row>
    <row r="617" spans="2:8" ht="15" customHeight="1">
      <c r="B617" s="170"/>
      <c r="C617" s="170"/>
      <c r="D617" s="193" t="s">
        <v>1192</v>
      </c>
      <c r="E617" s="194"/>
      <c r="F617" s="195"/>
      <c r="G617" s="195"/>
      <c r="H617" s="196">
        <f>SUM(H589:H616)</f>
        <v>141760.80000000002</v>
      </c>
    </row>
    <row r="618" spans="2:8" s="134" customFormat="1" ht="20.100000000000001" customHeight="1">
      <c r="B618" s="172"/>
      <c r="C618" s="178"/>
      <c r="D618" s="179" t="s">
        <v>2792</v>
      </c>
      <c r="E618" s="180"/>
      <c r="F618" s="181"/>
      <c r="G618" s="181"/>
      <c r="H618" s="182">
        <f>H530+H549+H554+H586+H617</f>
        <v>1254539.8899999999</v>
      </c>
    </row>
    <row r="619" spans="2:8" s="134" customFormat="1" ht="20.100000000000001" customHeight="1">
      <c r="B619" s="176" t="s">
        <v>1032</v>
      </c>
      <c r="C619" s="176"/>
      <c r="D619" s="204" t="s">
        <v>1033</v>
      </c>
      <c r="E619" s="204"/>
      <c r="F619" s="204"/>
      <c r="G619" s="204"/>
      <c r="H619" s="205" t="s">
        <v>1154</v>
      </c>
    </row>
    <row r="620" spans="2:8" s="134" customFormat="1" ht="15" customHeight="1">
      <c r="B620" s="163" t="s">
        <v>1870</v>
      </c>
      <c r="C620" s="163"/>
      <c r="D620" s="164" t="s">
        <v>1871</v>
      </c>
      <c r="E620" s="164"/>
      <c r="F620" s="164"/>
      <c r="G620" s="164"/>
      <c r="H620" s="198" t="s">
        <v>1154</v>
      </c>
    </row>
    <row r="621" spans="2:8" s="134" customFormat="1" ht="15" customHeight="1">
      <c r="B621" s="169" t="s">
        <v>1872</v>
      </c>
      <c r="C621" s="169"/>
      <c r="D621" s="187" t="s">
        <v>1873</v>
      </c>
      <c r="E621" s="187"/>
      <c r="F621" s="187"/>
      <c r="G621" s="187"/>
      <c r="H621" s="190" t="s">
        <v>1154</v>
      </c>
    </row>
    <row r="622" spans="2:8" ht="51.75" customHeight="1">
      <c r="B622" s="170" t="s">
        <v>2666</v>
      </c>
      <c r="C622" s="170" t="s">
        <v>1874</v>
      </c>
      <c r="D622" s="3" t="s">
        <v>1875</v>
      </c>
      <c r="E622" s="4" t="s">
        <v>15</v>
      </c>
      <c r="F622" s="5">
        <v>365</v>
      </c>
      <c r="G622" s="5">
        <v>55.85</v>
      </c>
      <c r="H622" s="8">
        <f t="shared" ref="H622:H623" si="72">TRUNC(F622*G622,(2))</f>
        <v>20385.25</v>
      </c>
    </row>
    <row r="623" spans="2:8" ht="51.75" customHeight="1">
      <c r="B623" s="170" t="s">
        <v>2667</v>
      </c>
      <c r="C623" s="170" t="s">
        <v>1876</v>
      </c>
      <c r="D623" s="3" t="s">
        <v>1877</v>
      </c>
      <c r="E623" s="4" t="s">
        <v>15</v>
      </c>
      <c r="F623" s="5">
        <v>365</v>
      </c>
      <c r="G623" s="5">
        <v>85.2</v>
      </c>
      <c r="H623" s="8">
        <f t="shared" si="72"/>
        <v>31098</v>
      </c>
    </row>
    <row r="624" spans="2:8" s="134" customFormat="1" ht="15" customHeight="1">
      <c r="B624" s="170"/>
      <c r="C624" s="138"/>
      <c r="D624" s="193" t="s">
        <v>1878</v>
      </c>
      <c r="E624" s="194"/>
      <c r="F624" s="195"/>
      <c r="G624" s="195"/>
      <c r="H624" s="196">
        <f>SUM(H621:H623)</f>
        <v>51483.25</v>
      </c>
    </row>
    <row r="625" spans="2:8" s="134" customFormat="1" ht="15" customHeight="1">
      <c r="B625" s="163" t="s">
        <v>1034</v>
      </c>
      <c r="C625" s="163"/>
      <c r="D625" s="164" t="s">
        <v>1035</v>
      </c>
      <c r="E625" s="164"/>
      <c r="F625" s="164"/>
      <c r="G625" s="164"/>
      <c r="H625" s="198" t="s">
        <v>1154</v>
      </c>
    </row>
    <row r="626" spans="2:8" ht="25.5" customHeight="1">
      <c r="B626" s="170" t="s">
        <v>2668</v>
      </c>
      <c r="C626" s="170" t="s">
        <v>2145</v>
      </c>
      <c r="D626" s="136" t="s">
        <v>1036</v>
      </c>
      <c r="E626" s="4" t="s">
        <v>663</v>
      </c>
      <c r="F626" s="5" t="s">
        <v>38</v>
      </c>
      <c r="G626" s="5">
        <f>CPU!H1522</f>
        <v>7162.1110300000009</v>
      </c>
      <c r="H626" s="8">
        <f t="shared" ref="H626:H628" si="73">TRUNC(F626*G626,(2))</f>
        <v>7162.11</v>
      </c>
    </row>
    <row r="627" spans="2:8" ht="25.5" customHeight="1">
      <c r="B627" s="170" t="s">
        <v>2669</v>
      </c>
      <c r="C627" s="170" t="s">
        <v>2147</v>
      </c>
      <c r="D627" s="136" t="s">
        <v>1037</v>
      </c>
      <c r="E627" s="4" t="s">
        <v>15</v>
      </c>
      <c r="F627" s="5">
        <v>208</v>
      </c>
      <c r="G627" s="5">
        <f>CPU!H1529</f>
        <v>93.235600000000005</v>
      </c>
      <c r="H627" s="8">
        <f t="shared" si="73"/>
        <v>19393</v>
      </c>
    </row>
    <row r="628" spans="2:8" ht="25.5" customHeight="1">
      <c r="B628" s="170" t="s">
        <v>2670</v>
      </c>
      <c r="C628" s="170" t="s">
        <v>2148</v>
      </c>
      <c r="D628" s="137" t="s">
        <v>1879</v>
      </c>
      <c r="E628" s="96" t="s">
        <v>37</v>
      </c>
      <c r="F628" s="5">
        <v>10</v>
      </c>
      <c r="G628" s="5">
        <f>CPU!H1538</f>
        <v>333.97993300000002</v>
      </c>
      <c r="H628" s="8">
        <f t="shared" si="73"/>
        <v>3339.79</v>
      </c>
    </row>
    <row r="629" spans="2:8" s="134" customFormat="1" ht="15" customHeight="1">
      <c r="B629" s="305"/>
      <c r="C629" s="138"/>
      <c r="D629" s="193" t="s">
        <v>1193</v>
      </c>
      <c r="E629" s="194"/>
      <c r="F629" s="195"/>
      <c r="G629" s="195"/>
      <c r="H629" s="196">
        <f>SUM(H626:H628)</f>
        <v>29894.9</v>
      </c>
    </row>
    <row r="630" spans="2:8" s="134" customFormat="1" ht="20.100000000000001" customHeight="1">
      <c r="B630" s="172"/>
      <c r="C630" s="178"/>
      <c r="D630" s="179" t="s">
        <v>2793</v>
      </c>
      <c r="E630" s="180"/>
      <c r="F630" s="181"/>
      <c r="G630" s="181"/>
      <c r="H630" s="182">
        <f>H624+H629</f>
        <v>81378.149999999994</v>
      </c>
    </row>
    <row r="631" spans="2:8" s="134" customFormat="1" ht="20.100000000000001" customHeight="1">
      <c r="B631" s="176" t="s">
        <v>1038</v>
      </c>
      <c r="C631" s="176"/>
      <c r="D631" s="204" t="s">
        <v>1039</v>
      </c>
      <c r="E631" s="204"/>
      <c r="F631" s="204"/>
      <c r="G631" s="204"/>
      <c r="H631" s="205" t="s">
        <v>1154</v>
      </c>
    </row>
    <row r="632" spans="2:8" s="134" customFormat="1" ht="15" customHeight="1">
      <c r="B632" s="163" t="s">
        <v>1040</v>
      </c>
      <c r="C632" s="163"/>
      <c r="D632" s="164" t="s">
        <v>1041</v>
      </c>
      <c r="E632" s="164"/>
      <c r="F632" s="164"/>
      <c r="G632" s="164"/>
      <c r="H632" s="198" t="s">
        <v>1154</v>
      </c>
    </row>
    <row r="633" spans="2:8" s="134" customFormat="1" ht="15" customHeight="1">
      <c r="B633" s="169" t="s">
        <v>1042</v>
      </c>
      <c r="C633" s="169"/>
      <c r="D633" s="187" t="s">
        <v>1043</v>
      </c>
      <c r="E633" s="187"/>
      <c r="F633" s="187"/>
      <c r="G633" s="187"/>
      <c r="H633" s="190" t="s">
        <v>1154</v>
      </c>
    </row>
    <row r="634" spans="2:8" ht="25.5">
      <c r="B634" s="170" t="s">
        <v>2671</v>
      </c>
      <c r="C634" s="170" t="s">
        <v>2149</v>
      </c>
      <c r="D634" s="3" t="s">
        <v>1044</v>
      </c>
      <c r="E634" s="4" t="s">
        <v>15</v>
      </c>
      <c r="F634" s="5" t="s">
        <v>646</v>
      </c>
      <c r="G634" s="5">
        <f>CPU!H1545</f>
        <v>370.06422530869997</v>
      </c>
      <c r="H634" s="8">
        <f t="shared" ref="H634:H650" si="74">TRUNC(F634*G634,(2))</f>
        <v>127302.09</v>
      </c>
    </row>
    <row r="635" spans="2:8" ht="25.5">
      <c r="B635" s="170" t="s">
        <v>2672</v>
      </c>
      <c r="C635" s="170" t="s">
        <v>2150</v>
      </c>
      <c r="D635" s="3" t="s">
        <v>1045</v>
      </c>
      <c r="E635" s="4" t="s">
        <v>15</v>
      </c>
      <c r="F635" s="5" t="s">
        <v>311</v>
      </c>
      <c r="G635" s="5">
        <f>CPU!H1552</f>
        <v>558.58621974080006</v>
      </c>
      <c r="H635" s="8">
        <f t="shared" si="74"/>
        <v>13406.06</v>
      </c>
    </row>
    <row r="636" spans="2:8" ht="25.5">
      <c r="B636" s="170" t="s">
        <v>2673</v>
      </c>
      <c r="C636" s="170" t="s">
        <v>2151</v>
      </c>
      <c r="D636" s="136" t="s">
        <v>1046</v>
      </c>
      <c r="E636" s="4" t="s">
        <v>37</v>
      </c>
      <c r="F636" s="5" t="s">
        <v>1047</v>
      </c>
      <c r="G636" s="5">
        <f>CPU!H1558</f>
        <v>306.24178773</v>
      </c>
      <c r="H636" s="8">
        <f t="shared" si="74"/>
        <v>29399.21</v>
      </c>
    </row>
    <row r="637" spans="2:8" ht="25.5">
      <c r="B637" s="170" t="s">
        <v>2674</v>
      </c>
      <c r="C637" s="170" t="s">
        <v>2152</v>
      </c>
      <c r="D637" s="136" t="s">
        <v>1048</v>
      </c>
      <c r="E637" s="4" t="s">
        <v>37</v>
      </c>
      <c r="F637" s="5" t="s">
        <v>358</v>
      </c>
      <c r="G637" s="5">
        <f>CPU!H1564</f>
        <v>517.35041501499995</v>
      </c>
      <c r="H637" s="8">
        <f t="shared" si="74"/>
        <v>1552.05</v>
      </c>
    </row>
    <row r="638" spans="2:8" ht="25.5">
      <c r="B638" s="170" t="s">
        <v>2675</v>
      </c>
      <c r="C638" s="170">
        <v>101934</v>
      </c>
      <c r="D638" s="3" t="s">
        <v>1049</v>
      </c>
      <c r="E638" s="4" t="s">
        <v>37</v>
      </c>
      <c r="F638" s="5" t="s">
        <v>25</v>
      </c>
      <c r="G638" s="5">
        <v>321.86</v>
      </c>
      <c r="H638" s="8">
        <f t="shared" si="74"/>
        <v>8690.2199999999993</v>
      </c>
    </row>
    <row r="639" spans="2:8" ht="25.5">
      <c r="B639" s="170" t="s">
        <v>2676</v>
      </c>
      <c r="C639" s="170" t="s">
        <v>2203</v>
      </c>
      <c r="D639" s="3" t="s">
        <v>1050</v>
      </c>
      <c r="E639" s="4" t="s">
        <v>37</v>
      </c>
      <c r="F639" s="5" t="s">
        <v>49</v>
      </c>
      <c r="G639" s="5">
        <f>CPU!H1572</f>
        <v>1018.900699</v>
      </c>
      <c r="H639" s="8">
        <f t="shared" si="74"/>
        <v>4075.6</v>
      </c>
    </row>
    <row r="640" spans="2:8" ht="38.25">
      <c r="B640" s="170" t="s">
        <v>2677</v>
      </c>
      <c r="C640" s="170" t="s">
        <v>2194</v>
      </c>
      <c r="D640" s="3" t="s">
        <v>699</v>
      </c>
      <c r="E640" s="4" t="s">
        <v>24</v>
      </c>
      <c r="F640" s="5" t="s">
        <v>1051</v>
      </c>
      <c r="G640" s="5">
        <f>CPU!H993</f>
        <v>22.484903649589999</v>
      </c>
      <c r="H640" s="8">
        <f t="shared" si="74"/>
        <v>7217.65</v>
      </c>
    </row>
    <row r="641" spans="2:8" ht="51">
      <c r="B641" s="170" t="s">
        <v>2678</v>
      </c>
      <c r="C641" s="170" t="s">
        <v>1052</v>
      </c>
      <c r="D641" s="3" t="s">
        <v>1053</v>
      </c>
      <c r="E641" s="4" t="s">
        <v>37</v>
      </c>
      <c r="F641" s="5" t="s">
        <v>1054</v>
      </c>
      <c r="G641" s="5">
        <v>50.21</v>
      </c>
      <c r="H641" s="8">
        <f t="shared" si="74"/>
        <v>29925.16</v>
      </c>
    </row>
    <row r="642" spans="2:8" ht="51" customHeight="1">
      <c r="B642" s="170" t="s">
        <v>2679</v>
      </c>
      <c r="C642" s="170" t="s">
        <v>2228</v>
      </c>
      <c r="D642" s="3" t="s">
        <v>1055</v>
      </c>
      <c r="E642" s="4" t="s">
        <v>15</v>
      </c>
      <c r="F642" s="5" t="s">
        <v>1056</v>
      </c>
      <c r="G642" s="5">
        <v>56.1</v>
      </c>
      <c r="H642" s="8">
        <f t="shared" si="74"/>
        <v>64515</v>
      </c>
    </row>
    <row r="643" spans="2:8" ht="51.75" customHeight="1">
      <c r="B643" s="170" t="s">
        <v>2680</v>
      </c>
      <c r="C643" s="170" t="s">
        <v>1057</v>
      </c>
      <c r="D643" s="3" t="s">
        <v>1058</v>
      </c>
      <c r="E643" s="4" t="s">
        <v>15</v>
      </c>
      <c r="F643" s="5" t="s">
        <v>289</v>
      </c>
      <c r="G643" s="5">
        <v>68.319999999999993</v>
      </c>
      <c r="H643" s="8">
        <f t="shared" si="74"/>
        <v>1503.04</v>
      </c>
    </row>
    <row r="644" spans="2:8" ht="50.25" customHeight="1">
      <c r="B644" s="170" t="s">
        <v>2681</v>
      </c>
      <c r="C644" s="170" t="s">
        <v>1059</v>
      </c>
      <c r="D644" s="3" t="s">
        <v>1060</v>
      </c>
      <c r="E644" s="4" t="s">
        <v>15</v>
      </c>
      <c r="F644" s="5" t="s">
        <v>1014</v>
      </c>
      <c r="G644" s="5">
        <v>78.11</v>
      </c>
      <c r="H644" s="8">
        <f t="shared" si="74"/>
        <v>10935.4</v>
      </c>
    </row>
    <row r="645" spans="2:8" ht="52.5" customHeight="1">
      <c r="B645" s="170" t="s">
        <v>2682</v>
      </c>
      <c r="C645" s="170" t="s">
        <v>1061</v>
      </c>
      <c r="D645" s="3" t="s">
        <v>1062</v>
      </c>
      <c r="E645" s="4" t="s">
        <v>15</v>
      </c>
      <c r="F645" s="5" t="s">
        <v>1063</v>
      </c>
      <c r="G645" s="5">
        <v>107.72</v>
      </c>
      <c r="H645" s="8">
        <f t="shared" si="74"/>
        <v>18635.560000000001</v>
      </c>
    </row>
    <row r="646" spans="2:8" ht="51.75" customHeight="1">
      <c r="B646" s="170" t="s">
        <v>2683</v>
      </c>
      <c r="C646" s="170" t="s">
        <v>1064</v>
      </c>
      <c r="D646" s="3" t="s">
        <v>1065</v>
      </c>
      <c r="E646" s="4" t="s">
        <v>15</v>
      </c>
      <c r="F646" s="5" t="s">
        <v>1066</v>
      </c>
      <c r="G646" s="5">
        <v>131.69999999999999</v>
      </c>
      <c r="H646" s="8">
        <f t="shared" si="74"/>
        <v>31608</v>
      </c>
    </row>
    <row r="647" spans="2:8" ht="51" customHeight="1">
      <c r="B647" s="170" t="s">
        <v>2684</v>
      </c>
      <c r="C647" s="170" t="s">
        <v>1067</v>
      </c>
      <c r="D647" s="3" t="s">
        <v>1068</v>
      </c>
      <c r="E647" s="4" t="s">
        <v>15</v>
      </c>
      <c r="F647" s="5" t="s">
        <v>1069</v>
      </c>
      <c r="G647" s="5">
        <v>173.19</v>
      </c>
      <c r="H647" s="8">
        <f t="shared" si="74"/>
        <v>10045.02</v>
      </c>
    </row>
    <row r="648" spans="2:8" ht="39" customHeight="1">
      <c r="B648" s="170" t="s">
        <v>2685</v>
      </c>
      <c r="C648" s="170" t="s">
        <v>1070</v>
      </c>
      <c r="D648" s="3" t="s">
        <v>1071</v>
      </c>
      <c r="E648" s="4" t="s">
        <v>37</v>
      </c>
      <c r="F648" s="5" t="s">
        <v>1072</v>
      </c>
      <c r="G648" s="5">
        <v>50.59</v>
      </c>
      <c r="H648" s="8">
        <f t="shared" si="74"/>
        <v>8650.89</v>
      </c>
    </row>
    <row r="649" spans="2:8" ht="42" customHeight="1">
      <c r="B649" s="170" t="s">
        <v>2686</v>
      </c>
      <c r="C649" s="170" t="s">
        <v>1073</v>
      </c>
      <c r="D649" s="3" t="s">
        <v>1074</v>
      </c>
      <c r="E649" s="4" t="s">
        <v>37</v>
      </c>
      <c r="F649" s="5" t="s">
        <v>703</v>
      </c>
      <c r="G649" s="5">
        <v>169.57</v>
      </c>
      <c r="H649" s="8">
        <f t="shared" si="74"/>
        <v>10513.34</v>
      </c>
    </row>
    <row r="650" spans="2:8" ht="63.75">
      <c r="B650" s="170" t="s">
        <v>2687</v>
      </c>
      <c r="C650" s="170" t="s">
        <v>1075</v>
      </c>
      <c r="D650" s="3" t="s">
        <v>1076</v>
      </c>
      <c r="E650" s="4" t="s">
        <v>37</v>
      </c>
      <c r="F650" s="5" t="s">
        <v>1077</v>
      </c>
      <c r="G650" s="5">
        <v>119.57</v>
      </c>
      <c r="H650" s="8">
        <f t="shared" si="74"/>
        <v>4782.8</v>
      </c>
    </row>
    <row r="651" spans="2:8" s="134" customFormat="1" ht="15" customHeight="1">
      <c r="B651" s="169" t="s">
        <v>1078</v>
      </c>
      <c r="C651" s="169"/>
      <c r="D651" s="187" t="s">
        <v>512</v>
      </c>
      <c r="E651" s="187"/>
      <c r="F651" s="187"/>
      <c r="G651" s="187"/>
      <c r="H651" s="190" t="s">
        <v>1154</v>
      </c>
    </row>
    <row r="652" spans="2:8" s="134" customFormat="1" ht="15" customHeight="1">
      <c r="B652" s="169" t="s">
        <v>1079</v>
      </c>
      <c r="C652" s="169"/>
      <c r="D652" s="187" t="s">
        <v>1080</v>
      </c>
      <c r="E652" s="187"/>
      <c r="F652" s="187"/>
      <c r="G652" s="187"/>
      <c r="H652" s="190" t="s">
        <v>1154</v>
      </c>
    </row>
    <row r="653" spans="2:8" ht="15" customHeight="1">
      <c r="B653" s="170" t="s">
        <v>2688</v>
      </c>
      <c r="C653" s="170">
        <v>99626</v>
      </c>
      <c r="D653" s="3" t="s">
        <v>1081</v>
      </c>
      <c r="E653" s="4" t="s">
        <v>37</v>
      </c>
      <c r="F653" s="5" t="s">
        <v>593</v>
      </c>
      <c r="G653" s="5">
        <v>1135.76</v>
      </c>
      <c r="H653" s="8">
        <f t="shared" ref="H653:H654" si="75">TRUNC(F653*G653,(2))</f>
        <v>7950.32</v>
      </c>
    </row>
    <row r="654" spans="2:8" ht="25.5">
      <c r="B654" s="170" t="s">
        <v>2689</v>
      </c>
      <c r="C654" s="170" t="s">
        <v>2156</v>
      </c>
      <c r="D654" s="136" t="s">
        <v>1082</v>
      </c>
      <c r="E654" s="4" t="s">
        <v>37</v>
      </c>
      <c r="F654" s="5" t="s">
        <v>38</v>
      </c>
      <c r="G654" s="5">
        <f>CPU!H1579</f>
        <v>1144.2126335196001</v>
      </c>
      <c r="H654" s="8">
        <f t="shared" si="75"/>
        <v>1144.21</v>
      </c>
    </row>
    <row r="655" spans="2:8" s="134" customFormat="1" ht="15" customHeight="1">
      <c r="B655" s="169" t="s">
        <v>1083</v>
      </c>
      <c r="C655" s="169"/>
      <c r="D655" s="187" t="s">
        <v>1084</v>
      </c>
      <c r="E655" s="187"/>
      <c r="F655" s="187"/>
      <c r="G655" s="187"/>
      <c r="H655" s="190" t="s">
        <v>1154</v>
      </c>
    </row>
    <row r="656" spans="2:8" ht="25.5">
      <c r="B656" s="170" t="s">
        <v>2690</v>
      </c>
      <c r="C656" s="170" t="s">
        <v>2229</v>
      </c>
      <c r="D656" s="3" t="s">
        <v>1085</v>
      </c>
      <c r="E656" s="4" t="s">
        <v>37</v>
      </c>
      <c r="F656" s="5" t="s">
        <v>367</v>
      </c>
      <c r="G656" s="5">
        <v>3439.3</v>
      </c>
      <c r="H656" s="8">
        <f>TRUNC(F656*G656,(2))</f>
        <v>6878.6</v>
      </c>
    </row>
    <row r="657" spans="2:8" s="134" customFormat="1" ht="15" customHeight="1">
      <c r="B657" s="169" t="s">
        <v>1086</v>
      </c>
      <c r="C657" s="169"/>
      <c r="D657" s="187" t="s">
        <v>1087</v>
      </c>
      <c r="E657" s="187"/>
      <c r="F657" s="187"/>
      <c r="G657" s="187"/>
      <c r="H657" s="190" t="s">
        <v>1154</v>
      </c>
    </row>
    <row r="658" spans="2:8" ht="63.75">
      <c r="B658" s="170" t="s">
        <v>2691</v>
      </c>
      <c r="C658" s="170" t="s">
        <v>1088</v>
      </c>
      <c r="D658" s="3" t="s">
        <v>1089</v>
      </c>
      <c r="E658" s="4" t="s">
        <v>37</v>
      </c>
      <c r="F658" s="5" t="s">
        <v>614</v>
      </c>
      <c r="G658" s="5">
        <v>1348.17</v>
      </c>
      <c r="H658" s="8">
        <f>TRUNC(F658*G658,(2))</f>
        <v>28311.57</v>
      </c>
    </row>
    <row r="659" spans="2:8" s="134" customFormat="1" ht="15" customHeight="1">
      <c r="B659" s="169" t="s">
        <v>1090</v>
      </c>
      <c r="C659" s="169"/>
      <c r="D659" s="187" t="s">
        <v>1091</v>
      </c>
      <c r="E659" s="187"/>
      <c r="F659" s="187"/>
      <c r="G659" s="187"/>
      <c r="H659" s="190" t="s">
        <v>1154</v>
      </c>
    </row>
    <row r="660" spans="2:8" ht="25.5">
      <c r="B660" s="170" t="s">
        <v>2692</v>
      </c>
      <c r="C660" s="170" t="s">
        <v>2230</v>
      </c>
      <c r="D660" s="3" t="s">
        <v>1092</v>
      </c>
      <c r="E660" s="4" t="s">
        <v>37</v>
      </c>
      <c r="F660" s="5" t="s">
        <v>905</v>
      </c>
      <c r="G660" s="5">
        <v>247.31</v>
      </c>
      <c r="H660" s="8">
        <f>TRUNC(F660*G660,(2))</f>
        <v>7171.99</v>
      </c>
    </row>
    <row r="661" spans="2:8" s="134" customFormat="1" ht="15" customHeight="1">
      <c r="B661" s="169" t="s">
        <v>1093</v>
      </c>
      <c r="C661" s="169"/>
      <c r="D661" s="187" t="s">
        <v>1094</v>
      </c>
      <c r="E661" s="187"/>
      <c r="F661" s="187"/>
      <c r="G661" s="187"/>
      <c r="H661" s="188"/>
    </row>
    <row r="662" spans="2:8" ht="25.5">
      <c r="B662" s="170" t="s">
        <v>2693</v>
      </c>
      <c r="C662" s="170" t="s">
        <v>2157</v>
      </c>
      <c r="D662" s="136" t="s">
        <v>1095</v>
      </c>
      <c r="E662" s="4" t="s">
        <v>37</v>
      </c>
      <c r="F662" s="5" t="s">
        <v>38</v>
      </c>
      <c r="G662" s="5">
        <f>CPU!H1595</f>
        <v>17623.229081000001</v>
      </c>
      <c r="H662" s="8">
        <f t="shared" ref="H662:H668" si="76">TRUNC(F662*G662,(2))</f>
        <v>17623.22</v>
      </c>
    </row>
    <row r="663" spans="2:8" ht="25.5" customHeight="1">
      <c r="B663" s="170" t="s">
        <v>2694</v>
      </c>
      <c r="C663" s="170" t="s">
        <v>2158</v>
      </c>
      <c r="D663" s="136" t="s">
        <v>1096</v>
      </c>
      <c r="E663" s="4" t="s">
        <v>37</v>
      </c>
      <c r="F663" s="5" t="s">
        <v>38</v>
      </c>
      <c r="G663" s="5">
        <f>CPU!H1611</f>
        <v>17623.229081000001</v>
      </c>
      <c r="H663" s="8">
        <f t="shared" si="76"/>
        <v>17623.22</v>
      </c>
    </row>
    <row r="664" spans="2:8" ht="25.5">
      <c r="B664" s="170" t="s">
        <v>2695</v>
      </c>
      <c r="C664" s="170" t="s">
        <v>2159</v>
      </c>
      <c r="D664" s="136" t="s">
        <v>1097</v>
      </c>
      <c r="E664" s="4" t="s">
        <v>37</v>
      </c>
      <c r="F664" s="5" t="s">
        <v>38</v>
      </c>
      <c r="G664" s="5">
        <f>CPU!H1627</f>
        <v>3828.6135810000005</v>
      </c>
      <c r="H664" s="8">
        <f t="shared" si="76"/>
        <v>3828.61</v>
      </c>
    </row>
    <row r="665" spans="2:8" ht="15" customHeight="1">
      <c r="B665" s="170" t="s">
        <v>2696</v>
      </c>
      <c r="C665" s="170" t="s">
        <v>2832</v>
      </c>
      <c r="D665" s="3" t="s">
        <v>1098</v>
      </c>
      <c r="E665" s="4" t="s">
        <v>37</v>
      </c>
      <c r="F665" s="5" t="s">
        <v>358</v>
      </c>
      <c r="G665" s="195">
        <v>164.03</v>
      </c>
      <c r="H665" s="8">
        <f t="shared" si="76"/>
        <v>492.09</v>
      </c>
    </row>
    <row r="666" spans="2:8" ht="15" customHeight="1">
      <c r="B666" s="170" t="s">
        <v>2697</v>
      </c>
      <c r="C666" s="170" t="s">
        <v>2833</v>
      </c>
      <c r="D666" s="3" t="s">
        <v>1099</v>
      </c>
      <c r="E666" s="4" t="s">
        <v>37</v>
      </c>
      <c r="F666" s="5" t="s">
        <v>38</v>
      </c>
      <c r="G666" s="195">
        <v>1509.97</v>
      </c>
      <c r="H666" s="8">
        <f t="shared" si="76"/>
        <v>1509.97</v>
      </c>
    </row>
    <row r="667" spans="2:8" ht="25.5">
      <c r="B667" s="170" t="s">
        <v>2698</v>
      </c>
      <c r="C667" s="170" t="s">
        <v>2160</v>
      </c>
      <c r="D667" s="136" t="s">
        <v>1100</v>
      </c>
      <c r="E667" s="4" t="s">
        <v>37</v>
      </c>
      <c r="F667" s="5" t="s">
        <v>367</v>
      </c>
      <c r="G667" s="5">
        <f>CPU!H1633</f>
        <v>3389.3714490000002</v>
      </c>
      <c r="H667" s="8">
        <f t="shared" si="76"/>
        <v>6778.74</v>
      </c>
    </row>
    <row r="668" spans="2:8" ht="25.5">
      <c r="B668" s="170" t="s">
        <v>2699</v>
      </c>
      <c r="C668" s="170" t="s">
        <v>2231</v>
      </c>
      <c r="D668" s="3" t="s">
        <v>1101</v>
      </c>
      <c r="E668" s="4" t="s">
        <v>37</v>
      </c>
      <c r="F668" s="5" t="s">
        <v>583</v>
      </c>
      <c r="G668" s="5">
        <v>147.72999999999999</v>
      </c>
      <c r="H668" s="8">
        <f t="shared" si="76"/>
        <v>886.38</v>
      </c>
    </row>
    <row r="669" spans="2:8" s="134" customFormat="1" ht="15" customHeight="1">
      <c r="B669" s="169" t="s">
        <v>1102</v>
      </c>
      <c r="C669" s="169"/>
      <c r="D669" s="187" t="s">
        <v>1103</v>
      </c>
      <c r="E669" s="187"/>
      <c r="F669" s="187"/>
      <c r="G669" s="187"/>
      <c r="H669" s="190" t="s">
        <v>1154</v>
      </c>
    </row>
    <row r="670" spans="2:8" ht="25.5">
      <c r="B670" s="170" t="s">
        <v>2700</v>
      </c>
      <c r="C670" s="170" t="s">
        <v>1104</v>
      </c>
      <c r="D670" s="3" t="s">
        <v>1105</v>
      </c>
      <c r="E670" s="4" t="s">
        <v>37</v>
      </c>
      <c r="F670" s="5" t="s">
        <v>1106</v>
      </c>
      <c r="G670" s="5">
        <v>43.97</v>
      </c>
      <c r="H670" s="8">
        <f>TRUNC(F670*G670,(2))</f>
        <v>24315.41</v>
      </c>
    </row>
    <row r="671" spans="2:8" s="134" customFormat="1" ht="20.100000000000001" customHeight="1">
      <c r="B671" s="172"/>
      <c r="C671" s="178"/>
      <c r="D671" s="179" t="s">
        <v>1194</v>
      </c>
      <c r="E671" s="180"/>
      <c r="F671" s="181"/>
      <c r="G671" s="181"/>
      <c r="H671" s="182">
        <f>SUM(H634:H670)</f>
        <v>507271.41999999993</v>
      </c>
    </row>
    <row r="672" spans="2:8" s="134" customFormat="1" ht="20.100000000000001" customHeight="1">
      <c r="B672" s="176" t="s">
        <v>1107</v>
      </c>
      <c r="C672" s="176"/>
      <c r="D672" s="204" t="s">
        <v>1108</v>
      </c>
      <c r="E672" s="204"/>
      <c r="F672" s="204"/>
      <c r="G672" s="204"/>
      <c r="H672" s="205" t="s">
        <v>1154</v>
      </c>
    </row>
    <row r="673" spans="2:8" s="134" customFormat="1" ht="15" customHeight="1">
      <c r="B673" s="163" t="s">
        <v>2701</v>
      </c>
      <c r="C673" s="163"/>
      <c r="D673" s="164" t="s">
        <v>1109</v>
      </c>
      <c r="E673" s="164"/>
      <c r="F673" s="164"/>
      <c r="G673" s="164"/>
      <c r="H673" s="198" t="s">
        <v>1154</v>
      </c>
    </row>
    <row r="674" spans="2:8" ht="25.5">
      <c r="B674" s="170" t="s">
        <v>2702</v>
      </c>
      <c r="C674" s="170" t="s">
        <v>2161</v>
      </c>
      <c r="D674" s="136" t="s">
        <v>1110</v>
      </c>
      <c r="E674" s="4" t="s">
        <v>1111</v>
      </c>
      <c r="F674" s="5">
        <v>12</v>
      </c>
      <c r="G674" s="5">
        <f>CPU!H1637</f>
        <v>2128</v>
      </c>
      <c r="H674" s="8">
        <f t="shared" ref="H674:H675" si="77">TRUNC(F674*G674,(2))</f>
        <v>25536</v>
      </c>
    </row>
    <row r="675" spans="2:8" ht="25.5" customHeight="1">
      <c r="B675" s="170" t="s">
        <v>2703</v>
      </c>
      <c r="C675" s="170" t="s">
        <v>2204</v>
      </c>
      <c r="D675" s="136" t="s">
        <v>1112</v>
      </c>
      <c r="E675" s="4" t="s">
        <v>1111</v>
      </c>
      <c r="F675" s="5">
        <v>12</v>
      </c>
      <c r="G675" s="5">
        <f>CPU!H1641</f>
        <v>2262</v>
      </c>
      <c r="H675" s="8">
        <f t="shared" si="77"/>
        <v>27144</v>
      </c>
    </row>
    <row r="676" spans="2:8" s="134" customFormat="1" ht="15" customHeight="1">
      <c r="B676" s="163" t="s">
        <v>1113</v>
      </c>
      <c r="C676" s="163"/>
      <c r="D676" s="164" t="s">
        <v>1114</v>
      </c>
      <c r="E676" s="164"/>
      <c r="F676" s="164"/>
      <c r="G676" s="164"/>
      <c r="H676" s="198" t="s">
        <v>1154</v>
      </c>
    </row>
    <row r="677" spans="2:8" ht="15" customHeight="1">
      <c r="B677" s="170" t="s">
        <v>2704</v>
      </c>
      <c r="C677" s="170" t="s">
        <v>2205</v>
      </c>
      <c r="D677" s="3" t="s">
        <v>1115</v>
      </c>
      <c r="E677" s="4" t="s">
        <v>24</v>
      </c>
      <c r="F677" s="5">
        <v>7433.53</v>
      </c>
      <c r="G677" s="432">
        <f>2.04*1.2173</f>
        <v>2.4832920000000001</v>
      </c>
      <c r="H677" s="8">
        <f>TRUNC(F677*G677,(2))</f>
        <v>18459.62</v>
      </c>
    </row>
    <row r="678" spans="2:8" s="134" customFormat="1" ht="15" customHeight="1">
      <c r="B678" s="163" t="s">
        <v>1116</v>
      </c>
      <c r="C678" s="163"/>
      <c r="D678" s="164" t="s">
        <v>1117</v>
      </c>
      <c r="E678" s="164"/>
      <c r="F678" s="164"/>
      <c r="G678" s="164"/>
      <c r="H678" s="198" t="s">
        <v>1154</v>
      </c>
    </row>
    <row r="679" spans="2:8" ht="25.5">
      <c r="B679" s="170" t="s">
        <v>2705</v>
      </c>
      <c r="C679" s="197" t="s">
        <v>2165</v>
      </c>
      <c r="D679" s="136" t="s">
        <v>55</v>
      </c>
      <c r="E679" s="4" t="s">
        <v>37</v>
      </c>
      <c r="F679" s="5" t="s">
        <v>38</v>
      </c>
      <c r="G679" s="5">
        <f>CPU!H1650</f>
        <v>359.61157456130002</v>
      </c>
      <c r="H679" s="8">
        <f>TRUNC(F679*G679,(2))</f>
        <v>359.61</v>
      </c>
    </row>
    <row r="680" spans="2:8" s="134" customFormat="1" ht="15" customHeight="1">
      <c r="B680" s="163" t="s">
        <v>2706</v>
      </c>
      <c r="C680" s="163"/>
      <c r="D680" s="164" t="s">
        <v>1118</v>
      </c>
      <c r="E680" s="164"/>
      <c r="F680" s="164"/>
      <c r="G680" s="164"/>
      <c r="H680" s="198" t="s">
        <v>1154</v>
      </c>
    </row>
    <row r="681" spans="2:8" ht="15" customHeight="1">
      <c r="B681" s="170" t="s">
        <v>2707</v>
      </c>
      <c r="C681" s="197" t="s">
        <v>1119</v>
      </c>
      <c r="D681" s="3" t="s">
        <v>1120</v>
      </c>
      <c r="E681" s="4" t="s">
        <v>24</v>
      </c>
      <c r="F681" s="5" t="s">
        <v>1121</v>
      </c>
      <c r="G681" s="432">
        <f>6.7*1.2173</f>
        <v>8.1559100000000004</v>
      </c>
      <c r="H681" s="8">
        <f>TRUNC(F681*G681,(2))</f>
        <v>4893.54</v>
      </c>
    </row>
    <row r="682" spans="2:8" s="134" customFormat="1" ht="20.100000000000001" customHeight="1">
      <c r="B682" s="172"/>
      <c r="C682" s="178"/>
      <c r="D682" s="179" t="s">
        <v>1195</v>
      </c>
      <c r="E682" s="180"/>
      <c r="F682" s="181"/>
      <c r="G682" s="181"/>
      <c r="H682" s="182">
        <f>SUM(H674:H681)</f>
        <v>76392.76999999999</v>
      </c>
    </row>
    <row r="683" spans="2:8" s="134" customFormat="1" ht="20.100000000000001" customHeight="1">
      <c r="B683" s="176" t="s">
        <v>1122</v>
      </c>
      <c r="C683" s="176"/>
      <c r="D683" s="204" t="s">
        <v>1123</v>
      </c>
      <c r="E683" s="204"/>
      <c r="F683" s="204"/>
      <c r="G683" s="204"/>
      <c r="H683" s="205" t="s">
        <v>1154</v>
      </c>
    </row>
    <row r="684" spans="2:8" s="134" customFormat="1" ht="15" customHeight="1">
      <c r="B684" s="163" t="s">
        <v>1124</v>
      </c>
      <c r="C684" s="163"/>
      <c r="D684" s="164" t="s">
        <v>1125</v>
      </c>
      <c r="E684" s="164"/>
      <c r="F684" s="164"/>
      <c r="G684" s="164"/>
      <c r="H684" s="198" t="s">
        <v>1154</v>
      </c>
    </row>
    <row r="685" spans="2:8" ht="25.5">
      <c r="B685" s="170" t="s">
        <v>2708</v>
      </c>
      <c r="C685" s="170" t="s">
        <v>1126</v>
      </c>
      <c r="D685" s="3" t="s">
        <v>1127</v>
      </c>
      <c r="E685" s="4" t="s">
        <v>1128</v>
      </c>
      <c r="F685" s="5">
        <v>619</v>
      </c>
      <c r="G685" s="5">
        <v>43.77</v>
      </c>
      <c r="H685" s="8">
        <f t="shared" ref="H685:H695" si="78">TRUNC(F685*G685,(2))</f>
        <v>27093.63</v>
      </c>
    </row>
    <row r="686" spans="2:8" ht="25.5">
      <c r="B686" s="170" t="s">
        <v>2709</v>
      </c>
      <c r="C686" s="170" t="s">
        <v>1129</v>
      </c>
      <c r="D686" s="3" t="s">
        <v>1130</v>
      </c>
      <c r="E686" s="4" t="s">
        <v>1111</v>
      </c>
      <c r="F686" s="5">
        <v>12</v>
      </c>
      <c r="G686" s="5">
        <v>3728.87</v>
      </c>
      <c r="H686" s="8">
        <f t="shared" si="78"/>
        <v>44746.44</v>
      </c>
    </row>
    <row r="687" spans="2:8" ht="25.5">
      <c r="B687" s="170" t="s">
        <v>2710</v>
      </c>
      <c r="C687" s="170" t="s">
        <v>1131</v>
      </c>
      <c r="D687" s="3" t="s">
        <v>1132</v>
      </c>
      <c r="E687" s="4" t="s">
        <v>1128</v>
      </c>
      <c r="F687" s="5">
        <v>2640</v>
      </c>
      <c r="G687" s="5">
        <v>40.450000000000003</v>
      </c>
      <c r="H687" s="8">
        <f t="shared" si="78"/>
        <v>106788</v>
      </c>
    </row>
    <row r="688" spans="2:8" ht="15" customHeight="1">
      <c r="B688" s="170" t="s">
        <v>2711</v>
      </c>
      <c r="C688" s="170" t="s">
        <v>1133</v>
      </c>
      <c r="D688" s="3" t="s">
        <v>1134</v>
      </c>
      <c r="E688" s="4" t="s">
        <v>1128</v>
      </c>
      <c r="F688" s="5">
        <v>2640</v>
      </c>
      <c r="G688" s="5">
        <v>31.1</v>
      </c>
      <c r="H688" s="8">
        <f t="shared" si="78"/>
        <v>82104</v>
      </c>
    </row>
    <row r="689" spans="2:8" ht="25.5">
      <c r="B689" s="170" t="s">
        <v>2712</v>
      </c>
      <c r="C689" s="170" t="s">
        <v>1135</v>
      </c>
      <c r="D689" s="3" t="s">
        <v>1136</v>
      </c>
      <c r="E689" s="4" t="s">
        <v>1128</v>
      </c>
      <c r="F689" s="5">
        <v>2640</v>
      </c>
      <c r="G689" s="5">
        <v>30.03</v>
      </c>
      <c r="H689" s="8">
        <f t="shared" si="78"/>
        <v>79279.199999999997</v>
      </c>
    </row>
    <row r="690" spans="2:8" ht="25.5">
      <c r="B690" s="170" t="s">
        <v>2713</v>
      </c>
      <c r="C690" s="170" t="s">
        <v>1137</v>
      </c>
      <c r="D690" s="3" t="s">
        <v>1138</v>
      </c>
      <c r="E690" s="4" t="s">
        <v>1128</v>
      </c>
      <c r="F690" s="5">
        <v>344</v>
      </c>
      <c r="G690" s="5">
        <v>156.47</v>
      </c>
      <c r="H690" s="8">
        <f t="shared" si="78"/>
        <v>53825.68</v>
      </c>
    </row>
    <row r="691" spans="2:8" ht="15" customHeight="1">
      <c r="B691" s="170" t="s">
        <v>2714</v>
      </c>
      <c r="C691" s="170" t="s">
        <v>1139</v>
      </c>
      <c r="D691" s="3" t="s">
        <v>1140</v>
      </c>
      <c r="E691" s="4" t="s">
        <v>1128</v>
      </c>
      <c r="F691" s="5">
        <v>2640</v>
      </c>
      <c r="G691" s="5">
        <v>43.68</v>
      </c>
      <c r="H691" s="8">
        <f t="shared" si="78"/>
        <v>115315.2</v>
      </c>
    </row>
    <row r="692" spans="2:8" ht="25.5">
      <c r="B692" s="170" t="s">
        <v>2715</v>
      </c>
      <c r="C692" s="170" t="s">
        <v>1141</v>
      </c>
      <c r="D692" s="3" t="s">
        <v>1142</v>
      </c>
      <c r="E692" s="4" t="s">
        <v>1128</v>
      </c>
      <c r="F692" s="5">
        <v>1320</v>
      </c>
      <c r="G692" s="5">
        <v>120.19</v>
      </c>
      <c r="H692" s="8">
        <f t="shared" si="78"/>
        <v>158650.79999999999</v>
      </c>
    </row>
    <row r="693" spans="2:8" ht="25.5">
      <c r="B693" s="170" t="s">
        <v>2716</v>
      </c>
      <c r="C693" s="170" t="s">
        <v>1143</v>
      </c>
      <c r="D693" s="3" t="s">
        <v>1144</v>
      </c>
      <c r="E693" s="4" t="s">
        <v>1111</v>
      </c>
      <c r="F693" s="5">
        <v>12</v>
      </c>
      <c r="G693" s="5">
        <v>4203.04</v>
      </c>
      <c r="H693" s="8">
        <f t="shared" si="78"/>
        <v>50436.480000000003</v>
      </c>
    </row>
    <row r="694" spans="2:8" ht="25.5">
      <c r="B694" s="170" t="s">
        <v>2717</v>
      </c>
      <c r="C694" s="170" t="s">
        <v>1145</v>
      </c>
      <c r="D694" s="3" t="s">
        <v>1146</v>
      </c>
      <c r="E694" s="4" t="s">
        <v>1111</v>
      </c>
      <c r="F694" s="5">
        <v>12</v>
      </c>
      <c r="G694" s="5">
        <v>20409.560000000001</v>
      </c>
      <c r="H694" s="8">
        <f t="shared" si="78"/>
        <v>244914.72</v>
      </c>
    </row>
    <row r="695" spans="2:8" ht="25.5">
      <c r="B695" s="170" t="s">
        <v>2718</v>
      </c>
      <c r="C695" s="170" t="s">
        <v>1147</v>
      </c>
      <c r="D695" s="3" t="s">
        <v>1148</v>
      </c>
      <c r="E695" s="4" t="s">
        <v>1111</v>
      </c>
      <c r="F695" s="5">
        <v>12</v>
      </c>
      <c r="G695" s="5">
        <v>3807.72</v>
      </c>
      <c r="H695" s="8">
        <f t="shared" si="78"/>
        <v>45692.639999999999</v>
      </c>
    </row>
    <row r="696" spans="2:8" s="134" customFormat="1" ht="15" customHeight="1">
      <c r="B696" s="163" t="s">
        <v>1149</v>
      </c>
      <c r="C696" s="163"/>
      <c r="D696" s="164" t="s">
        <v>1150</v>
      </c>
      <c r="E696" s="164"/>
      <c r="F696" s="164"/>
      <c r="G696" s="164"/>
      <c r="H696" s="198" t="s">
        <v>1154</v>
      </c>
    </row>
    <row r="697" spans="2:8" ht="25.5">
      <c r="B697" s="170" t="s">
        <v>2719</v>
      </c>
      <c r="C697" s="170" t="s">
        <v>2206</v>
      </c>
      <c r="D697" s="3" t="s">
        <v>1151</v>
      </c>
      <c r="E697" s="4" t="s">
        <v>1152</v>
      </c>
      <c r="F697" s="5" t="s">
        <v>1153</v>
      </c>
      <c r="G697" s="5">
        <f>CPU!H1654</f>
        <v>0.91264499999999993</v>
      </c>
      <c r="H697" s="8">
        <f>TRUNC(F697*G697,(2))</f>
        <v>13799.19</v>
      </c>
    </row>
    <row r="698" spans="2:8" s="134" customFormat="1" ht="20.100000000000001" customHeight="1">
      <c r="B698" s="315"/>
      <c r="C698" s="306"/>
      <c r="D698" s="307" t="s">
        <v>2801</v>
      </c>
      <c r="E698" s="306"/>
      <c r="F698" s="308"/>
      <c r="G698" s="308"/>
      <c r="H698" s="309">
        <f>SUM(H685:H697)</f>
        <v>1022645.9799999999</v>
      </c>
    </row>
    <row r="699" spans="2:8" ht="20.100000000000001" customHeight="1">
      <c r="B699" s="316"/>
      <c r="C699" s="310" t="s">
        <v>1154</v>
      </c>
      <c r="D699" s="566" t="s">
        <v>1157</v>
      </c>
      <c r="E699" s="566"/>
      <c r="F699" s="566"/>
      <c r="G699" s="566"/>
      <c r="H699" s="311">
        <f>SUM(H698+H682+H671+H629+H624+H617+H586+H554+H549+H530+H469+H434+H411+H389+H347+H342+H324+H318+H313+H304+H295+H281+H278+H267+H263+H255+H249+H243+H235+H229+H190+H173+H168+H92+H74+H52+H22)</f>
        <v>24733479.670000006</v>
      </c>
    </row>
    <row r="700" spans="2:8" ht="20.100000000000001" customHeight="1">
      <c r="B700" s="316"/>
      <c r="C700" s="310"/>
      <c r="D700" s="567" t="s">
        <v>2743</v>
      </c>
      <c r="E700" s="567"/>
      <c r="F700" s="567"/>
      <c r="G700" s="567"/>
      <c r="H700" s="312">
        <f>H699*0.2026</f>
        <v>5011002.9811420012</v>
      </c>
    </row>
    <row r="701" spans="2:8" ht="20.100000000000001" customHeight="1">
      <c r="B701" s="317"/>
      <c r="C701" s="313"/>
      <c r="D701" s="568" t="s">
        <v>1159</v>
      </c>
      <c r="E701" s="568"/>
      <c r="F701" s="568"/>
      <c r="G701" s="568"/>
      <c r="H701" s="314">
        <f>SUM(H699:H700)</f>
        <v>29744482.651142009</v>
      </c>
    </row>
    <row r="702" spans="2:8">
      <c r="C702" s="9" t="s">
        <v>1160</v>
      </c>
      <c r="D702" s="10"/>
      <c r="E702" s="10"/>
      <c r="F702" s="11"/>
      <c r="G702" s="11"/>
      <c r="H702" s="12"/>
    </row>
    <row r="703" spans="2:8">
      <c r="C703" s="13"/>
      <c r="H703" s="14"/>
    </row>
    <row r="704" spans="2:8" ht="18" customHeight="1">
      <c r="C704" s="13"/>
      <c r="D704" s="555" t="s">
        <v>1161</v>
      </c>
      <c r="E704" s="556"/>
      <c r="F704" s="556"/>
      <c r="G704" s="556"/>
      <c r="H704" s="14"/>
    </row>
    <row r="705" spans="3:8" ht="30" customHeight="1">
      <c r="C705" s="13"/>
      <c r="D705" s="557" t="s">
        <v>1886</v>
      </c>
      <c r="E705" s="556"/>
      <c r="F705" s="556"/>
      <c r="G705" s="556"/>
      <c r="H705" s="558"/>
    </row>
    <row r="706" spans="3:8" ht="15">
      <c r="C706" s="15"/>
      <c r="D706" s="553" t="s">
        <v>1154</v>
      </c>
      <c r="E706" s="554"/>
      <c r="F706" s="554"/>
      <c r="G706" s="554"/>
      <c r="H706" s="16"/>
    </row>
  </sheetData>
  <autoFilter ref="B18:H702"/>
  <mergeCells count="24">
    <mergeCell ref="B8:C8"/>
    <mergeCell ref="B16:H16"/>
    <mergeCell ref="B10:D10"/>
    <mergeCell ref="B11:H11"/>
    <mergeCell ref="B12:D12"/>
    <mergeCell ref="G12:H12"/>
    <mergeCell ref="B13:H13"/>
    <mergeCell ref="B14:H14"/>
    <mergeCell ref="D706:G706"/>
    <mergeCell ref="D704:G704"/>
    <mergeCell ref="D705:H705"/>
    <mergeCell ref="D4:E4"/>
    <mergeCell ref="F4:G4"/>
    <mergeCell ref="D5:E5"/>
    <mergeCell ref="D6:E6"/>
    <mergeCell ref="F6:G6"/>
    <mergeCell ref="F7:G7"/>
    <mergeCell ref="B9:H9"/>
    <mergeCell ref="B17:H17"/>
    <mergeCell ref="D699:G699"/>
    <mergeCell ref="D700:G700"/>
    <mergeCell ref="D701:G701"/>
    <mergeCell ref="B15:H15"/>
    <mergeCell ref="D8:E8"/>
  </mergeCells>
  <phoneticPr fontId="37" type="noConversion"/>
  <printOptions horizontalCentered="1"/>
  <pageMargins left="0.43307086614173229" right="0.39370078740157483" top="1.1417322834645669" bottom="0.55118110236220474" header="0" footer="0.55118110236220474"/>
  <pageSetup paperSize="9" scale="90" orientation="landscape" r:id="rId1"/>
  <headerFooter>
    <oddFooter>&amp;R&amp;"Verdana,Negrito itálico"&amp;10Página &amp;P de &amp;N</oddFooter>
  </headerFooter>
  <drawing r:id="rId2"/>
</worksheet>
</file>

<file path=xl/worksheets/sheet3.xml><?xml version="1.0" encoding="utf-8"?>
<worksheet xmlns="http://schemas.openxmlformats.org/spreadsheetml/2006/main" xmlns:r="http://schemas.openxmlformats.org/officeDocument/2006/relationships">
  <sheetPr>
    <tabColor theme="5" tint="0.39997558519241921"/>
    <pageSetUpPr fitToPage="1"/>
  </sheetPr>
  <dimension ref="B1:K58"/>
  <sheetViews>
    <sheetView zoomScaleNormal="100" workbookViewId="0">
      <selection activeCell="H4" sqref="H4"/>
    </sheetView>
  </sheetViews>
  <sheetFormatPr defaultColWidth="9.140625" defaultRowHeight="15"/>
  <cols>
    <col min="1" max="1" width="2.7109375" customWidth="1"/>
    <col min="2" max="2" width="15.7109375" customWidth="1"/>
    <col min="3" max="3" width="20.7109375" customWidth="1"/>
    <col min="4" max="4" width="56.28515625" customWidth="1"/>
    <col min="5" max="5" width="10.7109375" customWidth="1"/>
    <col min="6" max="6" width="13.7109375" customWidth="1"/>
    <col min="7" max="7" width="12.7109375" customWidth="1"/>
    <col min="8" max="8" width="20.7109375" customWidth="1"/>
  </cols>
  <sheetData>
    <row r="1" spans="2:11" s="1" customFormat="1" ht="15" customHeight="1">
      <c r="B1" s="146"/>
      <c r="C1" s="146"/>
      <c r="F1" s="2"/>
      <c r="G1" s="2"/>
      <c r="H1" s="2"/>
    </row>
    <row r="2" spans="2:11" s="134" customFormat="1" ht="15" customHeight="1">
      <c r="B2" s="248"/>
      <c r="C2" s="249"/>
      <c r="D2" s="250"/>
      <c r="E2" s="251"/>
      <c r="F2" s="250"/>
      <c r="G2" s="250"/>
      <c r="H2" s="252"/>
    </row>
    <row r="3" spans="2:11" s="134" customFormat="1" ht="15" customHeight="1">
      <c r="B3" s="253"/>
      <c r="C3" s="254"/>
      <c r="D3" s="255"/>
      <c r="E3" s="256"/>
      <c r="F3" s="255"/>
      <c r="G3" s="255"/>
      <c r="H3" s="257"/>
    </row>
    <row r="4" spans="2:11" s="134" customFormat="1" ht="15" customHeight="1">
      <c r="B4" s="253"/>
      <c r="C4" s="254"/>
      <c r="D4" s="575" t="s">
        <v>2232</v>
      </c>
      <c r="E4" s="575"/>
      <c r="F4" s="560" t="s">
        <v>2233</v>
      </c>
      <c r="G4" s="560"/>
      <c r="H4" s="153">
        <v>0.2026</v>
      </c>
    </row>
    <row r="5" spans="2:11" s="134" customFormat="1" ht="15" customHeight="1">
      <c r="B5" s="324"/>
      <c r="C5" s="258"/>
      <c r="D5" s="576" t="s">
        <v>2234</v>
      </c>
      <c r="E5" s="576"/>
      <c r="F5" s="258"/>
      <c r="G5" s="258"/>
      <c r="H5" s="259"/>
    </row>
    <row r="6" spans="2:11" s="134" customFormat="1" ht="15" customHeight="1">
      <c r="B6" s="324"/>
      <c r="C6" s="258"/>
      <c r="D6" s="576" t="s">
        <v>2235</v>
      </c>
      <c r="E6" s="576"/>
      <c r="F6" s="577"/>
      <c r="G6" s="577"/>
      <c r="H6" s="259"/>
    </row>
    <row r="7" spans="2:11" s="134" customFormat="1" ht="15" customHeight="1">
      <c r="B7" s="253"/>
      <c r="C7" s="254"/>
      <c r="D7" s="255"/>
      <c r="E7" s="256"/>
      <c r="F7" s="575"/>
      <c r="G7" s="575"/>
      <c r="H7" s="257"/>
    </row>
    <row r="8" spans="2:11" s="134" customFormat="1" ht="15" customHeight="1">
      <c r="B8" s="581" t="s">
        <v>2243</v>
      </c>
      <c r="C8" s="576"/>
      <c r="D8" s="576"/>
      <c r="E8" s="576"/>
      <c r="F8" s="576"/>
      <c r="G8" s="576"/>
      <c r="H8" s="582"/>
    </row>
    <row r="9" spans="2:11" s="134" customFormat="1" ht="15" customHeight="1">
      <c r="B9" s="583"/>
      <c r="C9" s="584"/>
      <c r="D9" s="584"/>
      <c r="E9" s="584"/>
      <c r="F9" s="584"/>
      <c r="G9" s="584"/>
      <c r="H9" s="585"/>
    </row>
    <row r="10" spans="2:11" s="134" customFormat="1" ht="15" customHeight="1">
      <c r="B10" s="586" t="s">
        <v>2236</v>
      </c>
      <c r="C10" s="587"/>
      <c r="D10" s="587"/>
      <c r="E10" s="256"/>
      <c r="F10" s="255"/>
      <c r="G10" s="255"/>
      <c r="H10" s="529" t="s">
        <v>2906</v>
      </c>
      <c r="J10" s="588"/>
      <c r="K10" s="588"/>
    </row>
    <row r="11" spans="2:11" s="134" customFormat="1" ht="15" customHeight="1">
      <c r="B11" s="583"/>
      <c r="C11" s="584"/>
      <c r="D11" s="584"/>
      <c r="E11" s="584"/>
      <c r="F11" s="584"/>
      <c r="G11" s="584"/>
      <c r="H11" s="585"/>
    </row>
    <row r="12" spans="2:11" s="134" customFormat="1" ht="15" customHeight="1">
      <c r="B12" s="586" t="s">
        <v>2237</v>
      </c>
      <c r="C12" s="587"/>
      <c r="D12" s="587"/>
      <c r="E12" s="263"/>
      <c r="F12" s="263"/>
      <c r="G12" s="579" t="s">
        <v>2238</v>
      </c>
      <c r="H12" s="580"/>
    </row>
    <row r="13" spans="2:11" s="134" customFormat="1" ht="15" customHeight="1">
      <c r="B13" s="583"/>
      <c r="C13" s="584"/>
      <c r="D13" s="584"/>
      <c r="E13" s="584"/>
      <c r="F13" s="584"/>
      <c r="G13" s="584"/>
      <c r="H13" s="585"/>
    </row>
    <row r="14" spans="2:11" s="134" customFormat="1" ht="15" customHeight="1">
      <c r="B14" s="578" t="s">
        <v>2823</v>
      </c>
      <c r="C14" s="579"/>
      <c r="D14" s="579"/>
      <c r="E14" s="579"/>
      <c r="F14" s="579"/>
      <c r="G14" s="579"/>
      <c r="H14" s="580"/>
      <c r="J14" s="574"/>
      <c r="K14" s="574"/>
    </row>
    <row r="15" spans="2:11" s="134" customFormat="1" ht="15" customHeight="1">
      <c r="B15" s="578" t="s">
        <v>2824</v>
      </c>
      <c r="C15" s="579"/>
      <c r="D15" s="579"/>
      <c r="E15" s="579"/>
      <c r="F15" s="579"/>
      <c r="G15" s="579"/>
      <c r="H15" s="580"/>
    </row>
    <row r="16" spans="2:11" s="134" customFormat="1" ht="15" customHeight="1">
      <c r="B16" s="578" t="s">
        <v>2903</v>
      </c>
      <c r="C16" s="579"/>
      <c r="D16" s="579"/>
      <c r="E16" s="579"/>
      <c r="F16" s="579"/>
      <c r="G16" s="579"/>
      <c r="H16" s="580"/>
    </row>
    <row r="17" spans="2:8" s="134" customFormat="1" ht="20.100000000000001" customHeight="1">
      <c r="B17" s="560" t="s">
        <v>2239</v>
      </c>
      <c r="C17" s="560"/>
      <c r="D17" s="560"/>
      <c r="E17" s="560"/>
      <c r="F17" s="560"/>
      <c r="G17" s="560"/>
      <c r="H17" s="560"/>
    </row>
    <row r="18" spans="2:8" s="134" customFormat="1" ht="24.95" customHeight="1">
      <c r="B18" s="157" t="s">
        <v>2240</v>
      </c>
      <c r="C18" s="157" t="s">
        <v>1</v>
      </c>
      <c r="D18" s="157" t="s">
        <v>2</v>
      </c>
      <c r="E18" s="157" t="s">
        <v>2241</v>
      </c>
      <c r="F18" s="158" t="s">
        <v>5</v>
      </c>
      <c r="G18" s="158" t="s">
        <v>2242</v>
      </c>
      <c r="H18" s="159" t="s">
        <v>6</v>
      </c>
    </row>
    <row r="19" spans="2:8" s="1" customFormat="1" ht="20.100000000000001" customHeight="1">
      <c r="B19" s="160" t="s">
        <v>7</v>
      </c>
      <c r="C19" s="160"/>
      <c r="D19" s="161" t="s">
        <v>8</v>
      </c>
      <c r="E19" s="161"/>
      <c r="F19" s="161"/>
      <c r="G19" s="161"/>
      <c r="H19" s="162"/>
    </row>
    <row r="20" spans="2:8" s="134" customFormat="1" ht="15" customHeight="1">
      <c r="B20" s="163" t="s">
        <v>9</v>
      </c>
      <c r="C20" s="163"/>
      <c r="D20" s="164" t="s">
        <v>10</v>
      </c>
      <c r="E20" s="164"/>
      <c r="F20" s="164"/>
      <c r="G20" s="164"/>
      <c r="H20" s="165"/>
    </row>
    <row r="21" spans="2:8" s="1" customFormat="1" ht="25.5">
      <c r="B21" s="189"/>
      <c r="C21" s="170" t="s">
        <v>1935</v>
      </c>
      <c r="D21" s="136" t="s">
        <v>11</v>
      </c>
      <c r="E21" s="4" t="s">
        <v>13</v>
      </c>
      <c r="F21" s="5" t="s">
        <v>14</v>
      </c>
      <c r="G21" s="5">
        <f>CPU!H24</f>
        <v>507.44</v>
      </c>
      <c r="H21" s="8">
        <f>F21*G21</f>
        <v>5074.3999999999996</v>
      </c>
    </row>
    <row r="22" spans="2:8" s="134" customFormat="1" ht="20.100000000000001" customHeight="1">
      <c r="B22" s="166"/>
      <c r="C22" s="178"/>
      <c r="D22" s="179" t="s">
        <v>1155</v>
      </c>
      <c r="E22" s="180"/>
      <c r="F22" s="181"/>
      <c r="G22" s="181"/>
      <c r="H22" s="182">
        <f>SUM(H21:H21)</f>
        <v>5074.3999999999996</v>
      </c>
    </row>
    <row r="23" spans="2:8" s="134" customFormat="1" ht="20.100000000000001" customHeight="1">
      <c r="B23" s="167" t="s">
        <v>16</v>
      </c>
      <c r="C23" s="167"/>
      <c r="D23" s="183" t="s">
        <v>17</v>
      </c>
      <c r="E23" s="183"/>
      <c r="F23" s="183"/>
      <c r="G23" s="183"/>
      <c r="H23" s="184"/>
    </row>
    <row r="24" spans="2:8" s="134" customFormat="1" ht="15" customHeight="1">
      <c r="B24" s="169" t="s">
        <v>68</v>
      </c>
      <c r="C24" s="169"/>
      <c r="D24" s="187" t="s">
        <v>69</v>
      </c>
      <c r="E24" s="187"/>
      <c r="F24" s="187"/>
      <c r="G24" s="187"/>
      <c r="H24" s="190"/>
    </row>
    <row r="25" spans="2:8" s="1" customFormat="1" ht="15" customHeight="1">
      <c r="B25" s="170" t="s">
        <v>2260</v>
      </c>
      <c r="C25" s="170">
        <v>97914</v>
      </c>
      <c r="D25" s="3" t="s">
        <v>70</v>
      </c>
      <c r="E25" s="4" t="s">
        <v>71</v>
      </c>
      <c r="F25" s="5" t="s">
        <v>72</v>
      </c>
      <c r="G25" s="5">
        <v>2.61</v>
      </c>
      <c r="H25" s="8">
        <f t="shared" ref="H25:H29" si="0">F25*G25</f>
        <v>286609.32</v>
      </c>
    </row>
    <row r="26" spans="2:8" s="1" customFormat="1" ht="38.25">
      <c r="B26" s="170" t="s">
        <v>2261</v>
      </c>
      <c r="C26" s="170" t="s">
        <v>2170</v>
      </c>
      <c r="D26" s="3" t="s">
        <v>74</v>
      </c>
      <c r="E26" s="4" t="s">
        <v>75</v>
      </c>
      <c r="F26" s="5" t="s">
        <v>76</v>
      </c>
      <c r="G26" s="432">
        <v>6.08</v>
      </c>
      <c r="H26" s="8">
        <f t="shared" si="0"/>
        <v>55638.080000000002</v>
      </c>
    </row>
    <row r="27" spans="2:8" s="1" customFormat="1" ht="25.5">
      <c r="B27" s="170" t="s">
        <v>2263</v>
      </c>
      <c r="C27" s="170" t="s">
        <v>2169</v>
      </c>
      <c r="D27" s="136" t="s">
        <v>79</v>
      </c>
      <c r="E27" s="4" t="s">
        <v>75</v>
      </c>
      <c r="F27" s="5" t="s">
        <v>80</v>
      </c>
      <c r="G27" s="5">
        <f>CPU!H84</f>
        <v>7.930752</v>
      </c>
      <c r="H27" s="8">
        <f t="shared" si="0"/>
        <v>16416.656640000001</v>
      </c>
    </row>
    <row r="28" spans="2:8" s="1" customFormat="1" ht="75.75" customHeight="1">
      <c r="B28" s="170" t="s">
        <v>2264</v>
      </c>
      <c r="C28" s="170" t="s">
        <v>81</v>
      </c>
      <c r="D28" s="3" t="s">
        <v>82</v>
      </c>
      <c r="E28" s="4" t="s">
        <v>75</v>
      </c>
      <c r="F28" s="5" t="s">
        <v>83</v>
      </c>
      <c r="G28" s="5">
        <v>10.119999999999999</v>
      </c>
      <c r="H28" s="8">
        <f t="shared" si="0"/>
        <v>9158.5999999999985</v>
      </c>
    </row>
    <row r="29" spans="2:8" s="1" customFormat="1" ht="25.5">
      <c r="B29" s="170" t="s">
        <v>2265</v>
      </c>
      <c r="C29" s="170" t="s">
        <v>84</v>
      </c>
      <c r="D29" s="3" t="s">
        <v>85</v>
      </c>
      <c r="E29" s="4" t="s">
        <v>75</v>
      </c>
      <c r="F29" s="5" t="s">
        <v>86</v>
      </c>
      <c r="G29" s="5">
        <v>27.66</v>
      </c>
      <c r="H29" s="8">
        <f t="shared" si="0"/>
        <v>2848.98</v>
      </c>
    </row>
    <row r="30" spans="2:8" s="134" customFormat="1" ht="20.100000000000001" customHeight="1">
      <c r="B30" s="172"/>
      <c r="C30" s="178"/>
      <c r="D30" s="179" t="s">
        <v>1156</v>
      </c>
      <c r="E30" s="180"/>
      <c r="F30" s="181"/>
      <c r="G30" s="181"/>
      <c r="H30" s="182">
        <f>SUM(H25:H29)</f>
        <v>370671.63663999998</v>
      </c>
    </row>
    <row r="31" spans="2:8" s="134" customFormat="1" ht="20.100000000000001" customHeight="1">
      <c r="B31" s="167" t="s">
        <v>87</v>
      </c>
      <c r="C31" s="167"/>
      <c r="D31" s="183" t="s">
        <v>88</v>
      </c>
      <c r="E31" s="183"/>
      <c r="F31" s="183"/>
      <c r="G31" s="183"/>
      <c r="H31" s="191"/>
    </row>
    <row r="32" spans="2:8" s="134" customFormat="1" ht="15" customHeight="1">
      <c r="B32" s="169" t="s">
        <v>95</v>
      </c>
      <c r="C32" s="169"/>
      <c r="D32" s="187" t="s">
        <v>96</v>
      </c>
      <c r="E32" s="187"/>
      <c r="F32" s="187"/>
      <c r="G32" s="187"/>
      <c r="H32" s="190"/>
    </row>
    <row r="33" spans="2:8" s="1" customFormat="1" ht="38.25">
      <c r="B33" s="170" t="s">
        <v>2266</v>
      </c>
      <c r="C33" s="170" t="s">
        <v>1951</v>
      </c>
      <c r="D33" s="3" t="s">
        <v>97</v>
      </c>
      <c r="E33" s="4" t="s">
        <v>37</v>
      </c>
      <c r="F33" s="5" t="s">
        <v>38</v>
      </c>
      <c r="G33" s="5">
        <f>CPU!H88</f>
        <v>33375.444479999998</v>
      </c>
      <c r="H33" s="8">
        <f t="shared" ref="H33:H34" si="1">F33*G33</f>
        <v>33375.444479999998</v>
      </c>
    </row>
    <row r="34" spans="2:8" s="1" customFormat="1" ht="51">
      <c r="B34" s="170" t="s">
        <v>2168</v>
      </c>
      <c r="C34" s="170" t="s">
        <v>1952</v>
      </c>
      <c r="D34" s="3" t="s">
        <v>98</v>
      </c>
      <c r="E34" s="4" t="s">
        <v>75</v>
      </c>
      <c r="F34" s="5" t="s">
        <v>99</v>
      </c>
      <c r="G34" s="5">
        <f>CPU!H94</f>
        <v>2.18425</v>
      </c>
      <c r="H34" s="8">
        <f t="shared" si="1"/>
        <v>2072.8532500000001</v>
      </c>
    </row>
    <row r="35" spans="2:8" s="134" customFormat="1" ht="15" customHeight="1">
      <c r="B35" s="169" t="s">
        <v>126</v>
      </c>
      <c r="C35" s="169"/>
      <c r="D35" s="187" t="s">
        <v>127</v>
      </c>
      <c r="E35" s="187"/>
      <c r="F35" s="187"/>
      <c r="G35" s="187"/>
      <c r="H35" s="190"/>
    </row>
    <row r="36" spans="2:8" s="1" customFormat="1" ht="51">
      <c r="B36" s="170" t="s">
        <v>2276</v>
      </c>
      <c r="C36" s="170" t="s">
        <v>1952</v>
      </c>
      <c r="D36" s="3" t="s">
        <v>98</v>
      </c>
      <c r="E36" s="4" t="s">
        <v>75</v>
      </c>
      <c r="F36" s="5" t="s">
        <v>128</v>
      </c>
      <c r="G36" s="5">
        <f>CPU!H94</f>
        <v>2.18425</v>
      </c>
      <c r="H36" s="8">
        <f t="shared" ref="H36" si="2">F36*G36</f>
        <v>674.93325000000004</v>
      </c>
    </row>
    <row r="37" spans="2:8" s="134" customFormat="1" ht="20.100000000000001" customHeight="1">
      <c r="B37" s="172"/>
      <c r="C37" s="178"/>
      <c r="D37" s="179" t="s">
        <v>2789</v>
      </c>
      <c r="E37" s="180"/>
      <c r="F37" s="181"/>
      <c r="G37" s="181"/>
      <c r="H37" s="182">
        <f>SUM(H33:H36)</f>
        <v>36123.23098</v>
      </c>
    </row>
    <row r="38" spans="2:8" s="134" customFormat="1" ht="20.100000000000001" customHeight="1">
      <c r="B38" s="176" t="s">
        <v>1107</v>
      </c>
      <c r="C38" s="176"/>
      <c r="D38" s="204" t="s">
        <v>1108</v>
      </c>
      <c r="E38" s="204"/>
      <c r="F38" s="204"/>
      <c r="G38" s="204"/>
      <c r="H38" s="205" t="s">
        <v>1154</v>
      </c>
    </row>
    <row r="39" spans="2:8" s="134" customFormat="1" ht="15" customHeight="1">
      <c r="B39" s="163" t="s">
        <v>2706</v>
      </c>
      <c r="C39" s="163"/>
      <c r="D39" s="164" t="s">
        <v>1118</v>
      </c>
      <c r="E39" s="164"/>
      <c r="F39" s="164"/>
      <c r="G39" s="164"/>
      <c r="H39" s="198" t="s">
        <v>1154</v>
      </c>
    </row>
    <row r="40" spans="2:8" s="1" customFormat="1" ht="18" customHeight="1">
      <c r="B40" s="170" t="s">
        <v>2707</v>
      </c>
      <c r="C40" s="170" t="s">
        <v>1119</v>
      </c>
      <c r="D40" s="136" t="s">
        <v>1120</v>
      </c>
      <c r="E40" s="4" t="s">
        <v>24</v>
      </c>
      <c r="F40" s="5" t="s">
        <v>1121</v>
      </c>
      <c r="G40" s="432">
        <f>6.7*1.2173</f>
        <v>8.1559100000000004</v>
      </c>
      <c r="H40" s="8">
        <f t="shared" ref="H40" si="3">F40*G40</f>
        <v>4893.5460000000003</v>
      </c>
    </row>
    <row r="41" spans="2:8" s="134" customFormat="1" ht="20.100000000000001" customHeight="1">
      <c r="B41" s="172"/>
      <c r="C41" s="178"/>
      <c r="D41" s="179" t="s">
        <v>1195</v>
      </c>
      <c r="E41" s="180"/>
      <c r="F41" s="181"/>
      <c r="G41" s="181"/>
      <c r="H41" s="182">
        <f>SUM(H40)</f>
        <v>4893.5460000000003</v>
      </c>
    </row>
    <row r="42" spans="2:8" s="134" customFormat="1" ht="20.100000000000001" customHeight="1">
      <c r="B42" s="176" t="s">
        <v>1122</v>
      </c>
      <c r="C42" s="176"/>
      <c r="D42" s="204" t="s">
        <v>1123</v>
      </c>
      <c r="E42" s="204"/>
      <c r="F42" s="204"/>
      <c r="G42" s="204"/>
      <c r="H42" s="205" t="s">
        <v>1154</v>
      </c>
    </row>
    <row r="43" spans="2:8" s="134" customFormat="1" ht="15" customHeight="1">
      <c r="B43" s="163" t="s">
        <v>1124</v>
      </c>
      <c r="C43" s="163"/>
      <c r="D43" s="164" t="s">
        <v>1125</v>
      </c>
      <c r="E43" s="164"/>
      <c r="F43" s="164"/>
      <c r="G43" s="164"/>
      <c r="H43" s="198" t="s">
        <v>1154</v>
      </c>
    </row>
    <row r="44" spans="2:8" s="1" customFormat="1" ht="25.5">
      <c r="B44" s="170" t="s">
        <v>2708</v>
      </c>
      <c r="C44" s="170" t="s">
        <v>1126</v>
      </c>
      <c r="D44" s="3" t="s">
        <v>1127</v>
      </c>
      <c r="E44" s="4" t="s">
        <v>1128</v>
      </c>
      <c r="F44" s="5">
        <v>619</v>
      </c>
      <c r="G44" s="5">
        <v>43.77</v>
      </c>
      <c r="H44" s="8">
        <f t="shared" ref="H44:H54" si="4">F44*G44</f>
        <v>27093.63</v>
      </c>
    </row>
    <row r="45" spans="2:8" s="1" customFormat="1" ht="25.5">
      <c r="B45" s="170" t="s">
        <v>2709</v>
      </c>
      <c r="C45" s="170" t="s">
        <v>1129</v>
      </c>
      <c r="D45" s="3" t="s">
        <v>1130</v>
      </c>
      <c r="E45" s="4" t="s">
        <v>1111</v>
      </c>
      <c r="F45" s="5">
        <v>12</v>
      </c>
      <c r="G45" s="5">
        <v>3728.87</v>
      </c>
      <c r="H45" s="8">
        <f t="shared" si="4"/>
        <v>44746.44</v>
      </c>
    </row>
    <row r="46" spans="2:8" s="1" customFormat="1" ht="25.5">
      <c r="B46" s="170" t="s">
        <v>2710</v>
      </c>
      <c r="C46" s="170" t="s">
        <v>1131</v>
      </c>
      <c r="D46" s="3" t="s">
        <v>1132</v>
      </c>
      <c r="E46" s="4" t="s">
        <v>1128</v>
      </c>
      <c r="F46" s="5">
        <v>2640</v>
      </c>
      <c r="G46" s="5">
        <v>40.450000000000003</v>
      </c>
      <c r="H46" s="8">
        <f t="shared" si="4"/>
        <v>106788.00000000001</v>
      </c>
    </row>
    <row r="47" spans="2:8" s="1" customFormat="1" ht="15" customHeight="1">
      <c r="B47" s="170" t="s">
        <v>2711</v>
      </c>
      <c r="C47" s="170" t="s">
        <v>1133</v>
      </c>
      <c r="D47" s="3" t="s">
        <v>1134</v>
      </c>
      <c r="E47" s="4" t="s">
        <v>1128</v>
      </c>
      <c r="F47" s="5">
        <v>2640</v>
      </c>
      <c r="G47" s="5">
        <v>31.1</v>
      </c>
      <c r="H47" s="8">
        <f t="shared" si="4"/>
        <v>82104</v>
      </c>
    </row>
    <row r="48" spans="2:8" s="1" customFormat="1" ht="25.5">
      <c r="B48" s="170" t="s">
        <v>2712</v>
      </c>
      <c r="C48" s="170" t="s">
        <v>1135</v>
      </c>
      <c r="D48" s="3" t="s">
        <v>1136</v>
      </c>
      <c r="E48" s="4" t="s">
        <v>1128</v>
      </c>
      <c r="F48" s="5">
        <v>2640</v>
      </c>
      <c r="G48" s="5">
        <v>30.03</v>
      </c>
      <c r="H48" s="8">
        <f t="shared" si="4"/>
        <v>79279.199999999997</v>
      </c>
    </row>
    <row r="49" spans="2:8" s="1" customFormat="1" ht="25.5">
      <c r="B49" s="170" t="s">
        <v>2713</v>
      </c>
      <c r="C49" s="170" t="s">
        <v>1137</v>
      </c>
      <c r="D49" s="3" t="s">
        <v>1138</v>
      </c>
      <c r="E49" s="4" t="s">
        <v>1128</v>
      </c>
      <c r="F49" s="5">
        <v>344</v>
      </c>
      <c r="G49" s="5">
        <v>156.47</v>
      </c>
      <c r="H49" s="8">
        <f t="shared" si="4"/>
        <v>53825.68</v>
      </c>
    </row>
    <row r="50" spans="2:8" s="1" customFormat="1" ht="15" customHeight="1">
      <c r="B50" s="170" t="s">
        <v>2714</v>
      </c>
      <c r="C50" s="170" t="s">
        <v>1139</v>
      </c>
      <c r="D50" s="3" t="s">
        <v>1140</v>
      </c>
      <c r="E50" s="4" t="s">
        <v>1128</v>
      </c>
      <c r="F50" s="5">
        <v>2640</v>
      </c>
      <c r="G50" s="5">
        <v>43.68</v>
      </c>
      <c r="H50" s="8">
        <f t="shared" si="4"/>
        <v>115315.2</v>
      </c>
    </row>
    <row r="51" spans="2:8" s="1" customFormat="1" ht="25.5">
      <c r="B51" s="170" t="s">
        <v>2715</v>
      </c>
      <c r="C51" s="170" t="s">
        <v>1141</v>
      </c>
      <c r="D51" s="3" t="s">
        <v>1142</v>
      </c>
      <c r="E51" s="4" t="s">
        <v>1128</v>
      </c>
      <c r="F51" s="5">
        <v>1320</v>
      </c>
      <c r="G51" s="5">
        <v>120.19</v>
      </c>
      <c r="H51" s="8">
        <f t="shared" si="4"/>
        <v>158650.79999999999</v>
      </c>
    </row>
    <row r="52" spans="2:8" s="1" customFormat="1" ht="25.5">
      <c r="B52" s="170" t="s">
        <v>2716</v>
      </c>
      <c r="C52" s="170" t="s">
        <v>1143</v>
      </c>
      <c r="D52" s="3" t="s">
        <v>1144</v>
      </c>
      <c r="E52" s="4" t="s">
        <v>1111</v>
      </c>
      <c r="F52" s="5">
        <v>12</v>
      </c>
      <c r="G52" s="5">
        <v>4203.04</v>
      </c>
      <c r="H52" s="8">
        <f t="shared" si="4"/>
        <v>50436.479999999996</v>
      </c>
    </row>
    <row r="53" spans="2:8" s="1" customFormat="1" ht="25.5">
      <c r="B53" s="170" t="s">
        <v>2717</v>
      </c>
      <c r="C53" s="170" t="s">
        <v>1145</v>
      </c>
      <c r="D53" s="3" t="s">
        <v>1146</v>
      </c>
      <c r="E53" s="4" t="s">
        <v>1111</v>
      </c>
      <c r="F53" s="5">
        <v>12</v>
      </c>
      <c r="G53" s="5">
        <v>20409.560000000001</v>
      </c>
      <c r="H53" s="8">
        <f t="shared" si="4"/>
        <v>244914.72000000003</v>
      </c>
    </row>
    <row r="54" spans="2:8" s="1" customFormat="1" ht="25.5">
      <c r="B54" s="170" t="s">
        <v>2718</v>
      </c>
      <c r="C54" s="170" t="s">
        <v>1147</v>
      </c>
      <c r="D54" s="3" t="s">
        <v>1148</v>
      </c>
      <c r="E54" s="4" t="s">
        <v>1111</v>
      </c>
      <c r="F54" s="5">
        <v>12</v>
      </c>
      <c r="G54" s="5">
        <v>3807.72</v>
      </c>
      <c r="H54" s="8">
        <f t="shared" si="4"/>
        <v>45692.639999999999</v>
      </c>
    </row>
    <row r="55" spans="2:8" s="134" customFormat="1" ht="20.100000000000001" customHeight="1">
      <c r="B55" s="315"/>
      <c r="C55" s="306"/>
      <c r="D55" s="307" t="s">
        <v>2801</v>
      </c>
      <c r="E55" s="306"/>
      <c r="F55" s="308"/>
      <c r="G55" s="308"/>
      <c r="H55" s="309">
        <f>SUM(H44:H54)</f>
        <v>1008846.7899999999</v>
      </c>
    </row>
    <row r="56" spans="2:8" s="1" customFormat="1" ht="20.100000000000001" customHeight="1">
      <c r="B56" s="316"/>
      <c r="C56" s="310" t="s">
        <v>1154</v>
      </c>
      <c r="D56" s="566" t="s">
        <v>1157</v>
      </c>
      <c r="E56" s="566"/>
      <c r="F56" s="566"/>
      <c r="G56" s="566"/>
      <c r="H56" s="311">
        <f>H22+H30+H37+H41+H55</f>
        <v>1425609.60362</v>
      </c>
    </row>
    <row r="57" spans="2:8" s="1" customFormat="1" ht="20.100000000000001" customHeight="1">
      <c r="B57" s="316"/>
      <c r="C57" s="310"/>
      <c r="D57" s="567" t="s">
        <v>2743</v>
      </c>
      <c r="E57" s="567"/>
      <c r="F57" s="567"/>
      <c r="G57" s="567"/>
      <c r="H57" s="312">
        <f>H56*0.2026</f>
        <v>288828.50569341198</v>
      </c>
    </row>
    <row r="58" spans="2:8" s="1" customFormat="1" ht="20.100000000000001" customHeight="1">
      <c r="B58" s="317"/>
      <c r="C58" s="313"/>
      <c r="D58" s="568" t="s">
        <v>1159</v>
      </c>
      <c r="E58" s="568"/>
      <c r="F58" s="568"/>
      <c r="G58" s="568"/>
      <c r="H58" s="314">
        <f>H56+H57</f>
        <v>1714438.1093134119</v>
      </c>
    </row>
  </sheetData>
  <mergeCells count="22">
    <mergeCell ref="D56:G56"/>
    <mergeCell ref="D57:G57"/>
    <mergeCell ref="D58:G58"/>
    <mergeCell ref="B13:H13"/>
    <mergeCell ref="B14:H14"/>
    <mergeCell ref="J14:K14"/>
    <mergeCell ref="B15:H15"/>
    <mergeCell ref="B16:H16"/>
    <mergeCell ref="B17:H17"/>
    <mergeCell ref="B8:H8"/>
    <mergeCell ref="B9:H9"/>
    <mergeCell ref="B10:D10"/>
    <mergeCell ref="J10:K10"/>
    <mergeCell ref="B11:H11"/>
    <mergeCell ref="B12:D12"/>
    <mergeCell ref="G12:H12"/>
    <mergeCell ref="F7:G7"/>
    <mergeCell ref="D4:E4"/>
    <mergeCell ref="F4:G4"/>
    <mergeCell ref="D5:E5"/>
    <mergeCell ref="D6:E6"/>
    <mergeCell ref="F6:G6"/>
  </mergeCells>
  <pageMargins left="0.511811024" right="0.511811024" top="0.78740157499999996" bottom="0.78740157499999996" header="0.31496062000000002" footer="0.31496062000000002"/>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sheetPr>
    <tabColor theme="4" tint="0.39997558519241921"/>
    <pageSetUpPr fitToPage="1"/>
  </sheetPr>
  <dimension ref="B1:J675"/>
  <sheetViews>
    <sheetView zoomScaleNormal="100" workbookViewId="0">
      <selection activeCell="H4" sqref="H4"/>
    </sheetView>
  </sheetViews>
  <sheetFormatPr defaultRowHeight="15"/>
  <cols>
    <col min="1" max="1" width="2.7109375" customWidth="1"/>
    <col min="2" max="2" width="15.7109375" customWidth="1"/>
    <col min="3" max="3" width="20.7109375" customWidth="1"/>
    <col min="4" max="4" width="56.28515625" customWidth="1"/>
    <col min="5" max="5" width="10.7109375" customWidth="1"/>
    <col min="6" max="6" width="13.7109375" customWidth="1"/>
    <col min="7" max="7" width="12.7109375" customWidth="1"/>
    <col min="8" max="8" width="20.7109375" customWidth="1"/>
  </cols>
  <sheetData>
    <row r="1" spans="2:10" s="1" customFormat="1" ht="15" customHeight="1">
      <c r="B1" s="146"/>
      <c r="C1" s="146"/>
      <c r="F1" s="2"/>
      <c r="G1" s="2"/>
      <c r="H1" s="2"/>
    </row>
    <row r="2" spans="2:10" s="134" customFormat="1" ht="15" customHeight="1">
      <c r="B2" s="248"/>
      <c r="C2" s="249"/>
      <c r="D2" s="250"/>
      <c r="E2" s="251"/>
      <c r="F2" s="250"/>
      <c r="G2" s="250"/>
      <c r="H2" s="252"/>
    </row>
    <row r="3" spans="2:10" s="134" customFormat="1" ht="15" customHeight="1">
      <c r="B3" s="253"/>
      <c r="C3" s="254"/>
      <c r="D3" s="255"/>
      <c r="E3" s="256"/>
      <c r="F3" s="255"/>
      <c r="G3" s="255"/>
      <c r="H3" s="257"/>
    </row>
    <row r="4" spans="2:10" s="134" customFormat="1" ht="15" customHeight="1">
      <c r="B4" s="253"/>
      <c r="C4" s="254"/>
      <c r="D4" s="575" t="s">
        <v>2232</v>
      </c>
      <c r="E4" s="575"/>
      <c r="F4" s="560" t="s">
        <v>2233</v>
      </c>
      <c r="G4" s="560"/>
      <c r="H4" s="153">
        <v>0.2026</v>
      </c>
    </row>
    <row r="5" spans="2:10" s="134" customFormat="1" ht="15" customHeight="1">
      <c r="B5" s="324"/>
      <c r="C5" s="258"/>
      <c r="D5" s="576" t="s">
        <v>2234</v>
      </c>
      <c r="E5" s="576"/>
      <c r="F5" s="258"/>
      <c r="G5" s="258"/>
      <c r="H5" s="259"/>
    </row>
    <row r="6" spans="2:10" s="134" customFormat="1" ht="15" customHeight="1">
      <c r="B6" s="324"/>
      <c r="C6" s="258"/>
      <c r="D6" s="576" t="s">
        <v>2235</v>
      </c>
      <c r="E6" s="576"/>
      <c r="F6" s="577"/>
      <c r="G6" s="577"/>
      <c r="H6" s="259"/>
    </row>
    <row r="7" spans="2:10" s="134" customFormat="1" ht="15" customHeight="1">
      <c r="B7" s="253"/>
      <c r="C7" s="254"/>
      <c r="D7" s="255"/>
      <c r="E7" s="256"/>
      <c r="F7" s="575"/>
      <c r="G7" s="575"/>
      <c r="H7" s="257"/>
    </row>
    <row r="8" spans="2:10" s="134" customFormat="1" ht="15" customHeight="1">
      <c r="B8" s="581" t="s">
        <v>2243</v>
      </c>
      <c r="C8" s="576"/>
      <c r="D8" s="576"/>
      <c r="E8" s="576"/>
      <c r="F8" s="576"/>
      <c r="G8" s="576"/>
      <c r="H8" s="582"/>
    </row>
    <row r="9" spans="2:10" s="134" customFormat="1" ht="15" customHeight="1">
      <c r="B9" s="583"/>
      <c r="C9" s="584"/>
      <c r="D9" s="584"/>
      <c r="E9" s="584"/>
      <c r="F9" s="584"/>
      <c r="G9" s="584"/>
      <c r="H9" s="585"/>
    </row>
    <row r="10" spans="2:10" s="134" customFormat="1" ht="15" customHeight="1">
      <c r="B10" s="586" t="s">
        <v>2236</v>
      </c>
      <c r="C10" s="587"/>
      <c r="D10" s="587"/>
      <c r="E10" s="256"/>
      <c r="F10" s="255"/>
      <c r="G10" s="255"/>
      <c r="H10" s="529" t="s">
        <v>2906</v>
      </c>
      <c r="I10" s="588"/>
      <c r="J10" s="588"/>
    </row>
    <row r="11" spans="2:10" s="134" customFormat="1" ht="15" customHeight="1">
      <c r="B11" s="583"/>
      <c r="C11" s="584"/>
      <c r="D11" s="584"/>
      <c r="E11" s="584"/>
      <c r="F11" s="584"/>
      <c r="G11" s="584"/>
      <c r="H11" s="585"/>
    </row>
    <row r="12" spans="2:10" s="134" customFormat="1" ht="15" customHeight="1">
      <c r="B12" s="586" t="s">
        <v>2237</v>
      </c>
      <c r="C12" s="587"/>
      <c r="D12" s="587"/>
      <c r="E12" s="263"/>
      <c r="F12" s="263"/>
      <c r="G12" s="579" t="s">
        <v>2238</v>
      </c>
      <c r="H12" s="580"/>
    </row>
    <row r="13" spans="2:10" s="134" customFormat="1" ht="15" customHeight="1">
      <c r="B13" s="583"/>
      <c r="C13" s="584"/>
      <c r="D13" s="584"/>
      <c r="E13" s="584"/>
      <c r="F13" s="584"/>
      <c r="G13" s="584"/>
      <c r="H13" s="585"/>
    </row>
    <row r="14" spans="2:10" s="134" customFormat="1" ht="15" customHeight="1">
      <c r="B14" s="578" t="s">
        <v>2823</v>
      </c>
      <c r="C14" s="579"/>
      <c r="D14" s="579"/>
      <c r="E14" s="579"/>
      <c r="F14" s="579"/>
      <c r="G14" s="579"/>
      <c r="H14" s="580"/>
      <c r="I14" s="574"/>
      <c r="J14" s="574"/>
    </row>
    <row r="15" spans="2:10" s="134" customFormat="1" ht="15" customHeight="1">
      <c r="B15" s="578" t="s">
        <v>2824</v>
      </c>
      <c r="C15" s="579"/>
      <c r="D15" s="579"/>
      <c r="E15" s="579"/>
      <c r="F15" s="579"/>
      <c r="G15" s="579"/>
      <c r="H15" s="580"/>
    </row>
    <row r="16" spans="2:10" s="134" customFormat="1" ht="15" customHeight="1">
      <c r="B16" s="578" t="s">
        <v>2903</v>
      </c>
      <c r="C16" s="579"/>
      <c r="D16" s="579"/>
      <c r="E16" s="579"/>
      <c r="F16" s="579"/>
      <c r="G16" s="579"/>
      <c r="H16" s="580"/>
    </row>
    <row r="17" spans="2:8" s="134" customFormat="1" ht="20.100000000000001" customHeight="1">
      <c r="B17" s="560" t="s">
        <v>2239</v>
      </c>
      <c r="C17" s="560"/>
      <c r="D17" s="560"/>
      <c r="E17" s="560"/>
      <c r="F17" s="560"/>
      <c r="G17" s="560"/>
      <c r="H17" s="560"/>
    </row>
    <row r="18" spans="2:8" s="134" customFormat="1" ht="24.95" customHeight="1">
      <c r="B18" s="157" t="s">
        <v>2240</v>
      </c>
      <c r="C18" s="157" t="s">
        <v>1</v>
      </c>
      <c r="D18" s="157" t="s">
        <v>2</v>
      </c>
      <c r="E18" s="157" t="s">
        <v>2241</v>
      </c>
      <c r="F18" s="158" t="s">
        <v>5</v>
      </c>
      <c r="G18" s="158" t="s">
        <v>2242</v>
      </c>
      <c r="H18" s="159" t="s">
        <v>6</v>
      </c>
    </row>
    <row r="19" spans="2:8" s="134" customFormat="1" ht="20.100000000000001" customHeight="1">
      <c r="B19" s="167" t="s">
        <v>16</v>
      </c>
      <c r="C19" s="167"/>
      <c r="D19" s="183" t="s">
        <v>17</v>
      </c>
      <c r="E19" s="183"/>
      <c r="F19" s="183"/>
      <c r="G19" s="183"/>
      <c r="H19" s="184"/>
    </row>
    <row r="20" spans="2:8" s="134" customFormat="1" ht="15" customHeight="1">
      <c r="B20" s="168" t="s">
        <v>18</v>
      </c>
      <c r="C20" s="168"/>
      <c r="D20" s="185" t="s">
        <v>19</v>
      </c>
      <c r="E20" s="185"/>
      <c r="F20" s="185"/>
      <c r="G20" s="185"/>
      <c r="H20" s="186"/>
    </row>
    <row r="21" spans="2:8" s="134" customFormat="1" ht="15" customHeight="1">
      <c r="B21" s="169" t="s">
        <v>20</v>
      </c>
      <c r="C21" s="169"/>
      <c r="D21" s="187" t="s">
        <v>21</v>
      </c>
      <c r="E21" s="187"/>
      <c r="F21" s="187"/>
      <c r="G21" s="187"/>
      <c r="H21" s="188"/>
    </row>
    <row r="22" spans="2:8" s="1" customFormat="1" ht="38.25">
      <c r="B22" s="170" t="s">
        <v>2244</v>
      </c>
      <c r="C22" s="170" t="s">
        <v>22</v>
      </c>
      <c r="D22" s="3" t="s">
        <v>23</v>
      </c>
      <c r="E22" s="4" t="s">
        <v>24</v>
      </c>
      <c r="F22" s="5" t="s">
        <v>25</v>
      </c>
      <c r="G22" s="5">
        <v>1247.27</v>
      </c>
      <c r="H22" s="8">
        <f t="shared" ref="H22:H42" si="0">F22*G22</f>
        <v>33676.29</v>
      </c>
    </row>
    <row r="23" spans="2:8" s="1" customFormat="1" ht="38.25">
      <c r="B23" s="170" t="s">
        <v>2245</v>
      </c>
      <c r="C23" s="170" t="s">
        <v>26</v>
      </c>
      <c r="D23" s="3" t="s">
        <v>27</v>
      </c>
      <c r="E23" s="4" t="s">
        <v>24</v>
      </c>
      <c r="F23" s="5" t="s">
        <v>28</v>
      </c>
      <c r="G23" s="5">
        <v>1030.99</v>
      </c>
      <c r="H23" s="8">
        <f t="shared" si="0"/>
        <v>45363.56</v>
      </c>
    </row>
    <row r="24" spans="2:8" s="1" customFormat="1" ht="38.25">
      <c r="B24" s="170" t="s">
        <v>2246</v>
      </c>
      <c r="C24" s="170" t="s">
        <v>29</v>
      </c>
      <c r="D24" s="3" t="s">
        <v>30</v>
      </c>
      <c r="E24" s="4" t="s">
        <v>24</v>
      </c>
      <c r="F24" s="5" t="s">
        <v>31</v>
      </c>
      <c r="G24" s="5">
        <v>635.62</v>
      </c>
      <c r="H24" s="8">
        <f t="shared" si="0"/>
        <v>17797.36</v>
      </c>
    </row>
    <row r="25" spans="2:8" s="1" customFormat="1" ht="38.25">
      <c r="B25" s="170" t="s">
        <v>2247</v>
      </c>
      <c r="C25" s="170" t="s">
        <v>32</v>
      </c>
      <c r="D25" s="3" t="s">
        <v>33</v>
      </c>
      <c r="E25" s="4" t="s">
        <v>24</v>
      </c>
      <c r="F25" s="5" t="s">
        <v>34</v>
      </c>
      <c r="G25" s="5">
        <v>1092.05</v>
      </c>
      <c r="H25" s="8">
        <f t="shared" si="0"/>
        <v>19656.899999999998</v>
      </c>
    </row>
    <row r="26" spans="2:8" s="1" customFormat="1" ht="38.25">
      <c r="B26" s="170" t="s">
        <v>2248</v>
      </c>
      <c r="C26" s="170" t="s">
        <v>35</v>
      </c>
      <c r="D26" s="3" t="s">
        <v>36</v>
      </c>
      <c r="E26" s="4" t="s">
        <v>37</v>
      </c>
      <c r="F26" s="5" t="s">
        <v>38</v>
      </c>
      <c r="G26" s="5">
        <v>7535.29</v>
      </c>
      <c r="H26" s="8">
        <f t="shared" si="0"/>
        <v>7535.29</v>
      </c>
    </row>
    <row r="27" spans="2:8" s="1" customFormat="1" ht="38.25">
      <c r="B27" s="170" t="s">
        <v>2249</v>
      </c>
      <c r="C27" s="170" t="s">
        <v>39</v>
      </c>
      <c r="D27" s="3" t="s">
        <v>40</v>
      </c>
      <c r="E27" s="4" t="s">
        <v>37</v>
      </c>
      <c r="F27" s="5" t="s">
        <v>38</v>
      </c>
      <c r="G27" s="5">
        <v>11570.65</v>
      </c>
      <c r="H27" s="8">
        <f t="shared" si="0"/>
        <v>11570.65</v>
      </c>
    </row>
    <row r="28" spans="2:8" s="1" customFormat="1" ht="38.25">
      <c r="B28" s="170" t="s">
        <v>2250</v>
      </c>
      <c r="C28" s="170" t="s">
        <v>41</v>
      </c>
      <c r="D28" s="3" t="s">
        <v>42</v>
      </c>
      <c r="E28" s="4" t="s">
        <v>24</v>
      </c>
      <c r="F28" s="5" t="s">
        <v>43</v>
      </c>
      <c r="G28" s="5">
        <v>487.84</v>
      </c>
      <c r="H28" s="8">
        <f t="shared" si="0"/>
        <v>15610.88</v>
      </c>
    </row>
    <row r="29" spans="2:8" s="1" customFormat="1" ht="38.25">
      <c r="B29" s="170" t="s">
        <v>2251</v>
      </c>
      <c r="C29" s="170" t="s">
        <v>44</v>
      </c>
      <c r="D29" s="3" t="s">
        <v>45</v>
      </c>
      <c r="E29" s="4" t="s">
        <v>24</v>
      </c>
      <c r="F29" s="5" t="s">
        <v>46</v>
      </c>
      <c r="G29" s="5">
        <v>1039.1300000000001</v>
      </c>
      <c r="H29" s="8">
        <f t="shared" si="0"/>
        <v>16626.080000000002</v>
      </c>
    </row>
    <row r="30" spans="2:8" s="1" customFormat="1" ht="38.25">
      <c r="B30" s="170" t="s">
        <v>2252</v>
      </c>
      <c r="C30" s="170" t="s">
        <v>47</v>
      </c>
      <c r="D30" s="3" t="s">
        <v>48</v>
      </c>
      <c r="E30" s="4" t="s">
        <v>24</v>
      </c>
      <c r="F30" s="5" t="s">
        <v>49</v>
      </c>
      <c r="G30" s="5">
        <v>1390.51</v>
      </c>
      <c r="H30" s="8">
        <f t="shared" si="0"/>
        <v>5562.04</v>
      </c>
    </row>
    <row r="31" spans="2:8" s="134" customFormat="1" ht="15" customHeight="1">
      <c r="B31" s="169" t="s">
        <v>50</v>
      </c>
      <c r="C31" s="169"/>
      <c r="D31" s="187" t="s">
        <v>51</v>
      </c>
      <c r="E31" s="187"/>
      <c r="F31" s="187"/>
      <c r="G31" s="187"/>
      <c r="H31" s="190"/>
    </row>
    <row r="32" spans="2:8" s="1" customFormat="1" ht="25.5">
      <c r="B32" s="170" t="s">
        <v>2253</v>
      </c>
      <c r="C32" s="170" t="s">
        <v>1937</v>
      </c>
      <c r="D32" s="3" t="s">
        <v>52</v>
      </c>
      <c r="E32" s="4" t="s">
        <v>37</v>
      </c>
      <c r="F32" s="5" t="s">
        <v>38</v>
      </c>
      <c r="G32" s="5">
        <f>CPU!H44</f>
        <v>2070.9287249999998</v>
      </c>
      <c r="H32" s="8">
        <f t="shared" si="0"/>
        <v>2070.9287249999998</v>
      </c>
    </row>
    <row r="33" spans="2:8" s="1" customFormat="1" ht="25.5">
      <c r="B33" s="170" t="s">
        <v>2254</v>
      </c>
      <c r="C33" s="170" t="s">
        <v>1943</v>
      </c>
      <c r="D33" s="3" t="s">
        <v>53</v>
      </c>
      <c r="E33" s="4" t="s">
        <v>37</v>
      </c>
      <c r="F33" s="5" t="s">
        <v>38</v>
      </c>
      <c r="G33" s="5">
        <f>CPU!H52</f>
        <v>3955.6260479999996</v>
      </c>
      <c r="H33" s="8">
        <f t="shared" si="0"/>
        <v>3955.6260479999996</v>
      </c>
    </row>
    <row r="34" spans="2:8" s="1" customFormat="1" ht="25.5">
      <c r="B34" s="170" t="s">
        <v>2255</v>
      </c>
      <c r="C34" s="170" t="s">
        <v>1944</v>
      </c>
      <c r="D34" s="3" t="s">
        <v>54</v>
      </c>
      <c r="E34" s="4" t="s">
        <v>37</v>
      </c>
      <c r="F34" s="5" t="s">
        <v>38</v>
      </c>
      <c r="G34" s="5">
        <f>CPU!H66</f>
        <v>1247.8247283000003</v>
      </c>
      <c r="H34" s="8">
        <f t="shared" si="0"/>
        <v>1247.8247283000003</v>
      </c>
    </row>
    <row r="35" spans="2:8" s="1" customFormat="1" ht="25.5">
      <c r="B35" s="170" t="s">
        <v>2256</v>
      </c>
      <c r="C35" s="170" t="s">
        <v>1946</v>
      </c>
      <c r="D35" s="136" t="s">
        <v>55</v>
      </c>
      <c r="E35" s="4" t="s">
        <v>37</v>
      </c>
      <c r="F35" s="5" t="s">
        <v>38</v>
      </c>
      <c r="G35" s="5">
        <f>CPU!H75</f>
        <v>706.3087104</v>
      </c>
      <c r="H35" s="8">
        <f t="shared" si="0"/>
        <v>706.3087104</v>
      </c>
    </row>
    <row r="36" spans="2:8" s="134" customFormat="1" ht="15" customHeight="1">
      <c r="B36" s="169" t="s">
        <v>56</v>
      </c>
      <c r="C36" s="169"/>
      <c r="D36" s="187" t="s">
        <v>57</v>
      </c>
      <c r="E36" s="187"/>
      <c r="F36" s="187"/>
      <c r="G36" s="187"/>
      <c r="H36" s="190"/>
    </row>
    <row r="37" spans="2:8" s="1" customFormat="1" ht="17.100000000000001" customHeight="1">
      <c r="B37" s="170" t="s">
        <v>2257</v>
      </c>
      <c r="C37" s="170">
        <v>4813</v>
      </c>
      <c r="D37" s="136" t="s">
        <v>58</v>
      </c>
      <c r="E37" s="4" t="s">
        <v>24</v>
      </c>
      <c r="F37" s="5" t="s">
        <v>59</v>
      </c>
      <c r="G37" s="5">
        <v>400</v>
      </c>
      <c r="H37" s="8">
        <f t="shared" si="0"/>
        <v>5632</v>
      </c>
    </row>
    <row r="38" spans="2:8" s="1" customFormat="1" ht="17.100000000000001" customHeight="1">
      <c r="B38" s="170" t="s">
        <v>2258</v>
      </c>
      <c r="C38" s="170" t="s">
        <v>60</v>
      </c>
      <c r="D38" s="136" t="s">
        <v>61</v>
      </c>
      <c r="E38" s="4" t="s">
        <v>24</v>
      </c>
      <c r="F38" s="5" t="s">
        <v>62</v>
      </c>
      <c r="G38" s="5">
        <v>137.88</v>
      </c>
      <c r="H38" s="8">
        <f t="shared" si="0"/>
        <v>119404.08</v>
      </c>
    </row>
    <row r="39" spans="2:8" s="134" customFormat="1" ht="15" customHeight="1">
      <c r="B39" s="169" t="s">
        <v>63</v>
      </c>
      <c r="C39" s="169"/>
      <c r="D39" s="187" t="s">
        <v>64</v>
      </c>
      <c r="E39" s="187"/>
      <c r="F39" s="187"/>
      <c r="G39" s="187"/>
      <c r="H39" s="190"/>
    </row>
    <row r="40" spans="2:8" s="1" customFormat="1" ht="38.25">
      <c r="B40" s="170" t="s">
        <v>2259</v>
      </c>
      <c r="C40" s="170" t="s">
        <v>65</v>
      </c>
      <c r="D40" s="3" t="s">
        <v>66</v>
      </c>
      <c r="E40" s="4" t="s">
        <v>15</v>
      </c>
      <c r="F40" s="5" t="s">
        <v>67</v>
      </c>
      <c r="G40" s="5">
        <v>62.39</v>
      </c>
      <c r="H40" s="8">
        <f t="shared" si="0"/>
        <v>21087.82</v>
      </c>
    </row>
    <row r="41" spans="2:8" s="134" customFormat="1" ht="15" customHeight="1">
      <c r="B41" s="169" t="s">
        <v>68</v>
      </c>
      <c r="C41" s="169"/>
      <c r="D41" s="187" t="s">
        <v>69</v>
      </c>
      <c r="E41" s="187"/>
      <c r="F41" s="187"/>
      <c r="G41" s="187"/>
      <c r="H41" s="190"/>
    </row>
    <row r="42" spans="2:8" s="1" customFormat="1" ht="25.5">
      <c r="B42" s="170" t="s">
        <v>2262</v>
      </c>
      <c r="C42" s="170" t="s">
        <v>1949</v>
      </c>
      <c r="D42" s="136" t="s">
        <v>77</v>
      </c>
      <c r="E42" s="4" t="s">
        <v>24</v>
      </c>
      <c r="F42" s="5" t="s">
        <v>78</v>
      </c>
      <c r="G42" s="5">
        <f>CPU!H80</f>
        <v>0.79211999999999994</v>
      </c>
      <c r="H42" s="8">
        <f t="shared" si="0"/>
        <v>7525.9321199999995</v>
      </c>
    </row>
    <row r="43" spans="2:8" s="134" customFormat="1" ht="20.100000000000001" customHeight="1">
      <c r="B43" s="172"/>
      <c r="C43" s="178"/>
      <c r="D43" s="179" t="s">
        <v>1156</v>
      </c>
      <c r="E43" s="180"/>
      <c r="F43" s="181"/>
      <c r="G43" s="181"/>
      <c r="H43" s="182">
        <f>SUM(H22:H42)</f>
        <v>335029.57033170003</v>
      </c>
    </row>
    <row r="44" spans="2:8" s="134" customFormat="1" ht="20.100000000000001" customHeight="1">
      <c r="B44" s="167" t="s">
        <v>87</v>
      </c>
      <c r="C44" s="167"/>
      <c r="D44" s="183" t="s">
        <v>88</v>
      </c>
      <c r="E44" s="183"/>
      <c r="F44" s="183"/>
      <c r="G44" s="183"/>
      <c r="H44" s="191"/>
    </row>
    <row r="45" spans="2:8" s="134" customFormat="1" ht="15" customHeight="1">
      <c r="B45" s="168" t="s">
        <v>89</v>
      </c>
      <c r="C45" s="168"/>
      <c r="D45" s="185" t="s">
        <v>90</v>
      </c>
      <c r="E45" s="185"/>
      <c r="F45" s="185"/>
      <c r="G45" s="185"/>
      <c r="H45" s="192"/>
    </row>
    <row r="46" spans="2:8" s="134" customFormat="1" ht="15" customHeight="1">
      <c r="B46" s="169" t="s">
        <v>91</v>
      </c>
      <c r="C46" s="169"/>
      <c r="D46" s="187" t="s">
        <v>92</v>
      </c>
      <c r="E46" s="187"/>
      <c r="F46" s="187"/>
      <c r="G46" s="187"/>
      <c r="H46" s="190"/>
    </row>
    <row r="47" spans="2:8" s="134" customFormat="1" ht="15" customHeight="1">
      <c r="B47" s="169" t="s">
        <v>93</v>
      </c>
      <c r="C47" s="169"/>
      <c r="D47" s="187" t="s">
        <v>94</v>
      </c>
      <c r="E47" s="187"/>
      <c r="F47" s="187"/>
      <c r="G47" s="187"/>
      <c r="H47" s="190"/>
    </row>
    <row r="48" spans="2:8" s="134" customFormat="1" ht="15" customHeight="1">
      <c r="B48" s="169" t="s">
        <v>95</v>
      </c>
      <c r="C48" s="169"/>
      <c r="D48" s="187" t="s">
        <v>96</v>
      </c>
      <c r="E48" s="187"/>
      <c r="F48" s="187"/>
      <c r="G48" s="187"/>
      <c r="H48" s="190"/>
    </row>
    <row r="49" spans="2:8" s="1" customFormat="1" ht="51">
      <c r="B49" s="170" t="s">
        <v>2267</v>
      </c>
      <c r="C49" s="170" t="s">
        <v>2171</v>
      </c>
      <c r="D49" s="3" t="s">
        <v>100</v>
      </c>
      <c r="E49" s="4" t="s">
        <v>15</v>
      </c>
      <c r="F49" s="5" t="s">
        <v>101</v>
      </c>
      <c r="G49" s="5">
        <f>CPU!H104</f>
        <v>85.381845275000003</v>
      </c>
      <c r="H49" s="8">
        <f t="shared" ref="H49:H57" si="1">F49*G49</f>
        <v>211661.59443672502</v>
      </c>
    </row>
    <row r="50" spans="2:8" s="1" customFormat="1" ht="53.25" customHeight="1">
      <c r="B50" s="170" t="s">
        <v>2268</v>
      </c>
      <c r="C50" s="170" t="s">
        <v>1954</v>
      </c>
      <c r="D50" s="3" t="s">
        <v>102</v>
      </c>
      <c r="E50" s="4" t="s">
        <v>15</v>
      </c>
      <c r="F50" s="5" t="s">
        <v>103</v>
      </c>
      <c r="G50" s="5">
        <f>CPU!H114</f>
        <v>120.144685025</v>
      </c>
      <c r="H50" s="8">
        <f t="shared" si="1"/>
        <v>280657.98421840003</v>
      </c>
    </row>
    <row r="51" spans="2:8" s="1" customFormat="1" ht="54" customHeight="1">
      <c r="B51" s="170" t="s">
        <v>2269</v>
      </c>
      <c r="C51" s="170" t="s">
        <v>2172</v>
      </c>
      <c r="D51" s="3" t="s">
        <v>104</v>
      </c>
      <c r="E51" s="4" t="s">
        <v>15</v>
      </c>
      <c r="F51" s="5" t="s">
        <v>105</v>
      </c>
      <c r="G51" s="5">
        <f>CPU!H124</f>
        <v>177.09250252499999</v>
      </c>
      <c r="H51" s="8">
        <f t="shared" si="1"/>
        <v>187009.68266639998</v>
      </c>
    </row>
    <row r="52" spans="2:8" s="1" customFormat="1" ht="38.25">
      <c r="B52" s="170" t="s">
        <v>2270</v>
      </c>
      <c r="C52" s="170" t="s">
        <v>106</v>
      </c>
      <c r="D52" s="3" t="s">
        <v>107</v>
      </c>
      <c r="E52" s="4" t="s">
        <v>108</v>
      </c>
      <c r="F52" s="5" t="s">
        <v>109</v>
      </c>
      <c r="G52" s="5">
        <v>0.89</v>
      </c>
      <c r="H52" s="8">
        <f t="shared" si="1"/>
        <v>29567.58</v>
      </c>
    </row>
    <row r="53" spans="2:8" s="1" customFormat="1" ht="25.5">
      <c r="B53" s="170" t="s">
        <v>2271</v>
      </c>
      <c r="C53" s="170" t="s">
        <v>110</v>
      </c>
      <c r="D53" s="3" t="s">
        <v>111</v>
      </c>
      <c r="E53" s="4" t="s">
        <v>112</v>
      </c>
      <c r="F53" s="5" t="s">
        <v>113</v>
      </c>
      <c r="G53" s="5">
        <v>12.58</v>
      </c>
      <c r="H53" s="8">
        <f t="shared" si="1"/>
        <v>8529.24</v>
      </c>
    </row>
    <row r="54" spans="2:8" s="1" customFormat="1" ht="25.5">
      <c r="B54" s="170" t="s">
        <v>2272</v>
      </c>
      <c r="C54" s="170" t="s">
        <v>114</v>
      </c>
      <c r="D54" s="3" t="s">
        <v>115</v>
      </c>
      <c r="E54" s="4" t="s">
        <v>112</v>
      </c>
      <c r="F54" s="5" t="s">
        <v>116</v>
      </c>
      <c r="G54" s="5">
        <v>10.29</v>
      </c>
      <c r="H54" s="8">
        <f t="shared" si="1"/>
        <v>141960.84</v>
      </c>
    </row>
    <row r="55" spans="2:8" s="1" customFormat="1" ht="25.5">
      <c r="B55" s="170" t="s">
        <v>2273</v>
      </c>
      <c r="C55" s="170" t="s">
        <v>117</v>
      </c>
      <c r="D55" s="3" t="s">
        <v>118</v>
      </c>
      <c r="E55" s="4" t="s">
        <v>112</v>
      </c>
      <c r="F55" s="5" t="s">
        <v>119</v>
      </c>
      <c r="G55" s="5">
        <v>15.72</v>
      </c>
      <c r="H55" s="8">
        <f t="shared" si="1"/>
        <v>56592</v>
      </c>
    </row>
    <row r="56" spans="2:8" s="1" customFormat="1" ht="25.5">
      <c r="B56" s="170" t="s">
        <v>2274</v>
      </c>
      <c r="C56" s="170" t="s">
        <v>120</v>
      </c>
      <c r="D56" s="3" t="s">
        <v>121</v>
      </c>
      <c r="E56" s="4" t="s">
        <v>37</v>
      </c>
      <c r="F56" s="5" t="s">
        <v>122</v>
      </c>
      <c r="G56" s="5">
        <v>23.98</v>
      </c>
      <c r="H56" s="8">
        <f t="shared" si="1"/>
        <v>10143.540000000001</v>
      </c>
    </row>
    <row r="57" spans="2:8" s="1" customFormat="1" ht="25.5">
      <c r="B57" s="170" t="s">
        <v>2275</v>
      </c>
      <c r="C57" s="170" t="s">
        <v>123</v>
      </c>
      <c r="D57" s="3" t="s">
        <v>124</v>
      </c>
      <c r="E57" s="4" t="s">
        <v>24</v>
      </c>
      <c r="F57" s="5" t="s">
        <v>125</v>
      </c>
      <c r="G57" s="5">
        <v>0.37</v>
      </c>
      <c r="H57" s="8">
        <f t="shared" si="1"/>
        <v>626.04</v>
      </c>
    </row>
    <row r="58" spans="2:8" s="134" customFormat="1" ht="15" customHeight="1">
      <c r="B58" s="169" t="s">
        <v>126</v>
      </c>
      <c r="C58" s="169"/>
      <c r="D58" s="187" t="s">
        <v>127</v>
      </c>
      <c r="E58" s="187"/>
      <c r="F58" s="187"/>
      <c r="G58" s="187"/>
      <c r="H58" s="190"/>
    </row>
    <row r="59" spans="2:8" s="1" customFormat="1" ht="38.25">
      <c r="B59" s="170" t="s">
        <v>2277</v>
      </c>
      <c r="C59" s="170" t="s">
        <v>106</v>
      </c>
      <c r="D59" s="3" t="s">
        <v>107</v>
      </c>
      <c r="E59" s="4" t="s">
        <v>108</v>
      </c>
      <c r="F59" s="5" t="s">
        <v>129</v>
      </c>
      <c r="G59" s="5">
        <v>0.89</v>
      </c>
      <c r="H59" s="8">
        <f t="shared" ref="H59:H65" si="2">F59*G59</f>
        <v>9637.81</v>
      </c>
    </row>
    <row r="60" spans="2:8" s="1" customFormat="1" ht="25.5">
      <c r="B60" s="170" t="s">
        <v>2278</v>
      </c>
      <c r="C60" s="170" t="s">
        <v>130</v>
      </c>
      <c r="D60" s="3" t="s">
        <v>131</v>
      </c>
      <c r="E60" s="4" t="s">
        <v>75</v>
      </c>
      <c r="F60" s="5" t="s">
        <v>132</v>
      </c>
      <c r="G60" s="5">
        <v>90.34</v>
      </c>
      <c r="H60" s="8">
        <f t="shared" si="2"/>
        <v>59714.740000000005</v>
      </c>
    </row>
    <row r="61" spans="2:8" s="1" customFormat="1" ht="18" customHeight="1">
      <c r="B61" s="170" t="s">
        <v>2279</v>
      </c>
      <c r="C61" s="170" t="s">
        <v>133</v>
      </c>
      <c r="D61" s="136" t="s">
        <v>134</v>
      </c>
      <c r="E61" s="4" t="s">
        <v>75</v>
      </c>
      <c r="F61" s="5" t="s">
        <v>135</v>
      </c>
      <c r="G61" s="5">
        <v>46.5</v>
      </c>
      <c r="H61" s="8">
        <f t="shared" si="2"/>
        <v>20460</v>
      </c>
    </row>
    <row r="62" spans="2:8" s="1" customFormat="1" ht="15" customHeight="1">
      <c r="B62" s="173"/>
      <c r="C62" s="7"/>
      <c r="D62" s="193" t="s">
        <v>1163</v>
      </c>
      <c r="E62" s="194"/>
      <c r="F62" s="195"/>
      <c r="G62" s="195"/>
      <c r="H62" s="196">
        <f>SUM(H49:H61)</f>
        <v>1016561.0513215251</v>
      </c>
    </row>
    <row r="63" spans="2:8" s="134" customFormat="1" ht="15" customHeight="1">
      <c r="B63" s="168" t="s">
        <v>136</v>
      </c>
      <c r="C63" s="168"/>
      <c r="D63" s="185" t="s">
        <v>137</v>
      </c>
      <c r="E63" s="185"/>
      <c r="F63" s="185"/>
      <c r="G63" s="185"/>
      <c r="H63" s="192"/>
    </row>
    <row r="64" spans="2:8" s="134" customFormat="1" ht="15" customHeight="1">
      <c r="B64" s="169" t="s">
        <v>138</v>
      </c>
      <c r="C64" s="169"/>
      <c r="D64" s="187" t="s">
        <v>139</v>
      </c>
      <c r="E64" s="187"/>
      <c r="F64" s="187"/>
      <c r="G64" s="187"/>
      <c r="H64" s="190"/>
    </row>
    <row r="65" spans="2:8" s="1" customFormat="1" ht="38.25">
      <c r="B65" s="170" t="s">
        <v>2280</v>
      </c>
      <c r="C65" s="170" t="s">
        <v>140</v>
      </c>
      <c r="D65" s="3" t="s">
        <v>141</v>
      </c>
      <c r="E65" s="4" t="s">
        <v>75</v>
      </c>
      <c r="F65" s="5" t="s">
        <v>142</v>
      </c>
      <c r="G65" s="5">
        <v>232.16</v>
      </c>
      <c r="H65" s="8">
        <f t="shared" si="2"/>
        <v>12304.48</v>
      </c>
    </row>
    <row r="66" spans="2:8" s="134" customFormat="1" ht="15" customHeight="1">
      <c r="B66" s="169" t="s">
        <v>143</v>
      </c>
      <c r="C66" s="169"/>
      <c r="D66" s="187" t="s">
        <v>144</v>
      </c>
      <c r="E66" s="187"/>
      <c r="F66" s="187"/>
      <c r="G66" s="187"/>
      <c r="H66" s="190"/>
    </row>
    <row r="67" spans="2:8" s="1" customFormat="1" ht="51">
      <c r="B67" s="170" t="s">
        <v>2281</v>
      </c>
      <c r="C67" s="170" t="s">
        <v>145</v>
      </c>
      <c r="D67" s="3" t="s">
        <v>146</v>
      </c>
      <c r="E67" s="4" t="s">
        <v>24</v>
      </c>
      <c r="F67" s="5" t="s">
        <v>147</v>
      </c>
      <c r="G67" s="5">
        <v>142.76</v>
      </c>
      <c r="H67" s="8">
        <f t="shared" ref="H67:H68" si="3">F67*G67</f>
        <v>107384.072</v>
      </c>
    </row>
    <row r="68" spans="2:8" s="1" customFormat="1" ht="51">
      <c r="B68" s="170" t="s">
        <v>2282</v>
      </c>
      <c r="C68" s="170" t="s">
        <v>148</v>
      </c>
      <c r="D68" s="3" t="s">
        <v>149</v>
      </c>
      <c r="E68" s="4" t="s">
        <v>24</v>
      </c>
      <c r="F68" s="5" t="s">
        <v>150</v>
      </c>
      <c r="G68" s="5">
        <v>96.75</v>
      </c>
      <c r="H68" s="8">
        <f t="shared" si="3"/>
        <v>181599.75</v>
      </c>
    </row>
    <row r="69" spans="2:8" s="134" customFormat="1" ht="15" customHeight="1">
      <c r="B69" s="169" t="s">
        <v>151</v>
      </c>
      <c r="C69" s="169"/>
      <c r="D69" s="187" t="s">
        <v>152</v>
      </c>
      <c r="E69" s="187"/>
      <c r="F69" s="187"/>
      <c r="G69" s="187"/>
      <c r="H69" s="190"/>
    </row>
    <row r="70" spans="2:8" s="1" customFormat="1" ht="24.95" customHeight="1">
      <c r="B70" s="170" t="s">
        <v>2283</v>
      </c>
      <c r="C70" s="170" t="s">
        <v>153</v>
      </c>
      <c r="D70" s="3" t="s">
        <v>154</v>
      </c>
      <c r="E70" s="4" t="s">
        <v>112</v>
      </c>
      <c r="F70" s="5" t="s">
        <v>155</v>
      </c>
      <c r="G70" s="5">
        <v>17.649999999999999</v>
      </c>
      <c r="H70" s="8">
        <f t="shared" ref="H70:H79" si="4">F70*G70</f>
        <v>85143.599999999991</v>
      </c>
    </row>
    <row r="71" spans="2:8" s="1" customFormat="1" ht="24.95" customHeight="1">
      <c r="B71" s="170" t="s">
        <v>2284</v>
      </c>
      <c r="C71" s="170" t="s">
        <v>156</v>
      </c>
      <c r="D71" s="3" t="s">
        <v>157</v>
      </c>
      <c r="E71" s="4" t="s">
        <v>112</v>
      </c>
      <c r="F71" s="5" t="s">
        <v>158</v>
      </c>
      <c r="G71" s="5">
        <v>16.45</v>
      </c>
      <c r="H71" s="8">
        <f t="shared" si="4"/>
        <v>102138.04999999999</v>
      </c>
    </row>
    <row r="72" spans="2:8" s="1" customFormat="1" ht="24.95" customHeight="1">
      <c r="B72" s="170" t="s">
        <v>2285</v>
      </c>
      <c r="C72" s="170" t="s">
        <v>159</v>
      </c>
      <c r="D72" s="3" t="s">
        <v>160</v>
      </c>
      <c r="E72" s="4" t="s">
        <v>112</v>
      </c>
      <c r="F72" s="5" t="s">
        <v>161</v>
      </c>
      <c r="G72" s="5">
        <v>14.65</v>
      </c>
      <c r="H72" s="8">
        <f t="shared" si="4"/>
        <v>110607.5</v>
      </c>
    </row>
    <row r="73" spans="2:8" s="1" customFormat="1" ht="24.95" customHeight="1">
      <c r="B73" s="170" t="s">
        <v>2286</v>
      </c>
      <c r="C73" s="170" t="s">
        <v>162</v>
      </c>
      <c r="D73" s="3" t="s">
        <v>163</v>
      </c>
      <c r="E73" s="4" t="s">
        <v>112</v>
      </c>
      <c r="F73" s="5" t="s">
        <v>164</v>
      </c>
      <c r="G73" s="5">
        <v>12.37</v>
      </c>
      <c r="H73" s="8">
        <f t="shared" si="4"/>
        <v>20831.079999999998</v>
      </c>
    </row>
    <row r="74" spans="2:8" s="1" customFormat="1" ht="24.95" customHeight="1">
      <c r="B74" s="170" t="s">
        <v>2287</v>
      </c>
      <c r="C74" s="170" t="s">
        <v>165</v>
      </c>
      <c r="D74" s="3" t="s">
        <v>166</v>
      </c>
      <c r="E74" s="4" t="s">
        <v>112</v>
      </c>
      <c r="F74" s="5" t="s">
        <v>167</v>
      </c>
      <c r="G74" s="5">
        <v>11.67</v>
      </c>
      <c r="H74" s="8">
        <f t="shared" si="4"/>
        <v>28684.86</v>
      </c>
    </row>
    <row r="75" spans="2:8" s="1" customFormat="1" ht="24.95" customHeight="1">
      <c r="B75" s="170" t="s">
        <v>2288</v>
      </c>
      <c r="C75" s="170" t="s">
        <v>168</v>
      </c>
      <c r="D75" s="3" t="s">
        <v>169</v>
      </c>
      <c r="E75" s="4" t="s">
        <v>112</v>
      </c>
      <c r="F75" s="5" t="s">
        <v>170</v>
      </c>
      <c r="G75" s="5">
        <v>12.96</v>
      </c>
      <c r="H75" s="8">
        <f t="shared" si="4"/>
        <v>19569.600000000002</v>
      </c>
    </row>
    <row r="76" spans="2:8" s="134" customFormat="1" ht="15" customHeight="1">
      <c r="B76" s="169" t="s">
        <v>171</v>
      </c>
      <c r="C76" s="169"/>
      <c r="D76" s="187" t="s">
        <v>172</v>
      </c>
      <c r="E76" s="187"/>
      <c r="F76" s="187"/>
      <c r="G76" s="187"/>
      <c r="H76" s="190"/>
    </row>
    <row r="77" spans="2:8" s="1" customFormat="1" ht="36.75" customHeight="1">
      <c r="B77" s="170" t="s">
        <v>2289</v>
      </c>
      <c r="C77" s="170" t="s">
        <v>1956</v>
      </c>
      <c r="D77" s="3" t="s">
        <v>173</v>
      </c>
      <c r="E77" s="4" t="s">
        <v>75</v>
      </c>
      <c r="F77" s="5" t="s">
        <v>174</v>
      </c>
      <c r="G77" s="5">
        <f>CPU!H132</f>
        <v>596.64595999999995</v>
      </c>
      <c r="H77" s="8">
        <f t="shared" si="4"/>
        <v>238956.70697999999</v>
      </c>
    </row>
    <row r="78" spans="2:8" s="134" customFormat="1" ht="15" customHeight="1">
      <c r="B78" s="169" t="s">
        <v>175</v>
      </c>
      <c r="C78" s="169"/>
      <c r="D78" s="187" t="s">
        <v>176</v>
      </c>
      <c r="E78" s="187"/>
      <c r="F78" s="187"/>
      <c r="G78" s="187"/>
      <c r="H78" s="190"/>
    </row>
    <row r="79" spans="2:8" s="1" customFormat="1" ht="25.5">
      <c r="B79" s="170" t="s">
        <v>2290</v>
      </c>
      <c r="C79" s="170" t="s">
        <v>177</v>
      </c>
      <c r="D79" s="3" t="s">
        <v>178</v>
      </c>
      <c r="E79" s="4" t="s">
        <v>24</v>
      </c>
      <c r="F79" s="5" t="s">
        <v>179</v>
      </c>
      <c r="G79" s="5">
        <v>42.22</v>
      </c>
      <c r="H79" s="8">
        <f t="shared" si="4"/>
        <v>116282.32399999999</v>
      </c>
    </row>
    <row r="80" spans="2:8" s="134" customFormat="1" ht="15" customHeight="1">
      <c r="B80" s="174"/>
      <c r="C80" s="170"/>
      <c r="D80" s="193" t="s">
        <v>1164</v>
      </c>
      <c r="E80" s="194"/>
      <c r="F80" s="195"/>
      <c r="G80" s="195"/>
      <c r="H80" s="196">
        <f>SUM(H65:H79)</f>
        <v>1023502.02298</v>
      </c>
    </row>
    <row r="81" spans="2:8" s="134" customFormat="1" ht="15" customHeight="1">
      <c r="B81" s="169" t="s">
        <v>180</v>
      </c>
      <c r="C81" s="169"/>
      <c r="D81" s="187" t="s">
        <v>181</v>
      </c>
      <c r="E81" s="187"/>
      <c r="F81" s="187"/>
      <c r="G81" s="187"/>
      <c r="H81" s="190" t="s">
        <v>1154</v>
      </c>
    </row>
    <row r="82" spans="2:8" s="134" customFormat="1" ht="15" customHeight="1">
      <c r="B82" s="169" t="s">
        <v>182</v>
      </c>
      <c r="C82" s="169"/>
      <c r="D82" s="187" t="s">
        <v>183</v>
      </c>
      <c r="E82" s="187"/>
      <c r="F82" s="187"/>
      <c r="G82" s="187"/>
      <c r="H82" s="190" t="s">
        <v>1154</v>
      </c>
    </row>
    <row r="83" spans="2:8" s="134" customFormat="1" ht="15" customHeight="1">
      <c r="B83" s="169" t="s">
        <v>184</v>
      </c>
      <c r="C83" s="169"/>
      <c r="D83" s="187" t="s">
        <v>185</v>
      </c>
      <c r="E83" s="187"/>
      <c r="F83" s="187"/>
      <c r="G83" s="187"/>
      <c r="H83" s="190" t="s">
        <v>1154</v>
      </c>
    </row>
    <row r="84" spans="2:8" s="134" customFormat="1" ht="15" customHeight="1">
      <c r="B84" s="169" t="s">
        <v>186</v>
      </c>
      <c r="C84" s="169"/>
      <c r="D84" s="187" t="s">
        <v>187</v>
      </c>
      <c r="E84" s="187"/>
      <c r="F84" s="187"/>
      <c r="G84" s="187"/>
      <c r="H84" s="190" t="s">
        <v>1154</v>
      </c>
    </row>
    <row r="85" spans="2:8" s="1" customFormat="1" ht="66.75" customHeight="1">
      <c r="B85" s="170" t="s">
        <v>2291</v>
      </c>
      <c r="C85" s="170" t="s">
        <v>2207</v>
      </c>
      <c r="D85" s="3" t="s">
        <v>188</v>
      </c>
      <c r="E85" s="4" t="s">
        <v>24</v>
      </c>
      <c r="F85" s="5" t="s">
        <v>189</v>
      </c>
      <c r="G85" s="5">
        <v>72.61</v>
      </c>
      <c r="H85" s="8">
        <f t="shared" ref="H85" si="5">F85*G85</f>
        <v>41024.65</v>
      </c>
    </row>
    <row r="86" spans="2:8" s="134" customFormat="1" ht="15" customHeight="1">
      <c r="B86" s="169" t="s">
        <v>190</v>
      </c>
      <c r="C86" s="169"/>
      <c r="D86" s="187" t="s">
        <v>152</v>
      </c>
      <c r="E86" s="187"/>
      <c r="F86" s="187"/>
      <c r="G86" s="187"/>
      <c r="H86" s="190" t="s">
        <v>1154</v>
      </c>
    </row>
    <row r="87" spans="2:8" s="1" customFormat="1" ht="51">
      <c r="B87" s="170" t="s">
        <v>2292</v>
      </c>
      <c r="C87" s="170" t="s">
        <v>191</v>
      </c>
      <c r="D87" s="3" t="s">
        <v>192</v>
      </c>
      <c r="E87" s="4" t="s">
        <v>112</v>
      </c>
      <c r="F87" s="5" t="s">
        <v>193</v>
      </c>
      <c r="G87" s="432">
        <f>20.93*1.2173</f>
        <v>25.478089000000001</v>
      </c>
      <c r="H87" s="8">
        <f t="shared" ref="H87:H92" si="6">F87*G87</f>
        <v>6866.3449854999999</v>
      </c>
    </row>
    <row r="88" spans="2:8" s="1" customFormat="1" ht="51">
      <c r="B88" s="170" t="s">
        <v>2293</v>
      </c>
      <c r="C88" s="170" t="s">
        <v>194</v>
      </c>
      <c r="D88" s="3" t="s">
        <v>195</v>
      </c>
      <c r="E88" s="4" t="s">
        <v>112</v>
      </c>
      <c r="F88" s="5" t="s">
        <v>196</v>
      </c>
      <c r="G88" s="432">
        <f>19.76*1.2173</f>
        <v>24.053848000000002</v>
      </c>
      <c r="H88" s="8">
        <f t="shared" si="6"/>
        <v>49081.876844000006</v>
      </c>
    </row>
    <row r="89" spans="2:8" s="1" customFormat="1" ht="51">
      <c r="B89" s="170" t="s">
        <v>2294</v>
      </c>
      <c r="C89" s="170" t="s">
        <v>197</v>
      </c>
      <c r="D89" s="3" t="s">
        <v>198</v>
      </c>
      <c r="E89" s="4" t="s">
        <v>112</v>
      </c>
      <c r="F89" s="5" t="s">
        <v>199</v>
      </c>
      <c r="G89" s="432">
        <f>16.51*1.2173</f>
        <v>20.097623000000002</v>
      </c>
      <c r="H89" s="8">
        <f t="shared" si="6"/>
        <v>17531.1565429</v>
      </c>
    </row>
    <row r="90" spans="2:8" s="1" customFormat="1" ht="51">
      <c r="B90" s="170" t="s">
        <v>2295</v>
      </c>
      <c r="C90" s="170" t="s">
        <v>200</v>
      </c>
      <c r="D90" s="3" t="s">
        <v>201</v>
      </c>
      <c r="E90" s="4" t="s">
        <v>112</v>
      </c>
      <c r="F90" s="5" t="s">
        <v>202</v>
      </c>
      <c r="G90" s="432">
        <f>13.9*1.2173</f>
        <v>16.920470000000002</v>
      </c>
      <c r="H90" s="8">
        <f t="shared" si="6"/>
        <v>39272.410870000007</v>
      </c>
    </row>
    <row r="91" spans="2:8" s="1" customFormat="1" ht="51">
      <c r="B91" s="170" t="s">
        <v>2296</v>
      </c>
      <c r="C91" s="170" t="s">
        <v>203</v>
      </c>
      <c r="D91" s="3" t="s">
        <v>204</v>
      </c>
      <c r="E91" s="4" t="s">
        <v>112</v>
      </c>
      <c r="F91" s="5" t="s">
        <v>205</v>
      </c>
      <c r="G91" s="432">
        <f>13.13*1.2173</f>
        <v>15.983149000000001</v>
      </c>
      <c r="H91" s="8">
        <f t="shared" si="6"/>
        <v>45061.291975700005</v>
      </c>
    </row>
    <row r="92" spans="2:8" s="1" customFormat="1" ht="51">
      <c r="B92" s="170" t="s">
        <v>2297</v>
      </c>
      <c r="C92" s="170" t="s">
        <v>206</v>
      </c>
      <c r="D92" s="3" t="s">
        <v>207</v>
      </c>
      <c r="E92" s="4" t="s">
        <v>112</v>
      </c>
      <c r="F92" s="5" t="s">
        <v>208</v>
      </c>
      <c r="G92" s="432">
        <f>14.64*1.2173</f>
        <v>17.821272</v>
      </c>
      <c r="H92" s="8">
        <f t="shared" si="6"/>
        <v>7312.0679016000004</v>
      </c>
    </row>
    <row r="93" spans="2:8" s="134" customFormat="1" ht="15" customHeight="1">
      <c r="B93" s="169" t="s">
        <v>209</v>
      </c>
      <c r="C93" s="169"/>
      <c r="D93" s="187" t="s">
        <v>172</v>
      </c>
      <c r="E93" s="187"/>
      <c r="F93" s="187"/>
      <c r="G93" s="187"/>
      <c r="H93" s="190" t="s">
        <v>1154</v>
      </c>
    </row>
    <row r="94" spans="2:8" s="1" customFormat="1" ht="50.25" customHeight="1">
      <c r="B94" s="170" t="s">
        <v>2298</v>
      </c>
      <c r="C94" s="170" t="s">
        <v>210</v>
      </c>
      <c r="D94" s="3" t="s">
        <v>211</v>
      </c>
      <c r="E94" s="4" t="s">
        <v>75</v>
      </c>
      <c r="F94" s="5" t="s">
        <v>212</v>
      </c>
      <c r="G94" s="432">
        <f>437.68*1.2173</f>
        <v>532.78786400000001</v>
      </c>
      <c r="H94" s="8">
        <f t="shared" ref="H94:H106" si="7">F94*G94</f>
        <v>29601.693723840002</v>
      </c>
    </row>
    <row r="95" spans="2:8" s="134" customFormat="1" ht="15" customHeight="1">
      <c r="B95" s="169" t="s">
        <v>213</v>
      </c>
      <c r="C95" s="169"/>
      <c r="D95" s="187" t="s">
        <v>214</v>
      </c>
      <c r="E95" s="187"/>
      <c r="F95" s="187"/>
      <c r="G95" s="187"/>
      <c r="H95" s="190" t="s">
        <v>1154</v>
      </c>
    </row>
    <row r="96" spans="2:8" s="134" customFormat="1" ht="15" customHeight="1">
      <c r="B96" s="169" t="s">
        <v>215</v>
      </c>
      <c r="C96" s="169"/>
      <c r="D96" s="187" t="s">
        <v>187</v>
      </c>
      <c r="E96" s="187"/>
      <c r="F96" s="187"/>
      <c r="G96" s="187"/>
      <c r="H96" s="190" t="s">
        <v>1154</v>
      </c>
    </row>
    <row r="97" spans="2:8" s="1" customFormat="1" ht="51">
      <c r="B97" s="170" t="s">
        <v>2299</v>
      </c>
      <c r="C97" s="170" t="s">
        <v>216</v>
      </c>
      <c r="D97" s="3" t="s">
        <v>217</v>
      </c>
      <c r="E97" s="4" t="s">
        <v>24</v>
      </c>
      <c r="F97" s="5" t="s">
        <v>218</v>
      </c>
      <c r="G97" s="5">
        <v>209.22</v>
      </c>
      <c r="H97" s="8">
        <f t="shared" si="7"/>
        <v>151130.06700000001</v>
      </c>
    </row>
    <row r="98" spans="2:8" s="134" customFormat="1" ht="15" customHeight="1">
      <c r="B98" s="169" t="s">
        <v>219</v>
      </c>
      <c r="C98" s="169"/>
      <c r="D98" s="187" t="s">
        <v>152</v>
      </c>
      <c r="E98" s="187"/>
      <c r="F98" s="187"/>
      <c r="G98" s="187"/>
      <c r="H98" s="190">
        <f t="shared" si="7"/>
        <v>0</v>
      </c>
    </row>
    <row r="99" spans="2:8" s="1" customFormat="1" ht="26.25" customHeight="1">
      <c r="B99" s="170" t="s">
        <v>2300</v>
      </c>
      <c r="C99" s="170" t="s">
        <v>220</v>
      </c>
      <c r="D99" s="3" t="s">
        <v>221</v>
      </c>
      <c r="E99" s="4" t="s">
        <v>112</v>
      </c>
      <c r="F99" s="5" t="s">
        <v>222</v>
      </c>
      <c r="G99" s="5">
        <v>16.399999999999999</v>
      </c>
      <c r="H99" s="8">
        <f t="shared" si="7"/>
        <v>3535.8399999999997</v>
      </c>
    </row>
    <row r="100" spans="2:8" s="1" customFormat="1" ht="51">
      <c r="B100" s="170" t="s">
        <v>2301</v>
      </c>
      <c r="C100" s="170" t="s">
        <v>194</v>
      </c>
      <c r="D100" s="3" t="s">
        <v>195</v>
      </c>
      <c r="E100" s="4" t="s">
        <v>112</v>
      </c>
      <c r="F100" s="5" t="s">
        <v>223</v>
      </c>
      <c r="G100" s="432">
        <f>19.76*1.2173</f>
        <v>24.053848000000002</v>
      </c>
      <c r="H100" s="8">
        <f t="shared" si="7"/>
        <v>33021.122534400005</v>
      </c>
    </row>
    <row r="101" spans="2:8" s="1" customFormat="1" ht="51">
      <c r="B101" s="170" t="s">
        <v>2302</v>
      </c>
      <c r="C101" s="170" t="s">
        <v>224</v>
      </c>
      <c r="D101" s="3" t="s">
        <v>225</v>
      </c>
      <c r="E101" s="4" t="s">
        <v>112</v>
      </c>
      <c r="F101" s="5" t="s">
        <v>226</v>
      </c>
      <c r="G101" s="432">
        <f>18.5*1.2173</f>
        <v>22.520050000000001</v>
      </c>
      <c r="H101" s="8">
        <f t="shared" si="7"/>
        <v>30098.046825000001</v>
      </c>
    </row>
    <row r="102" spans="2:8" s="1" customFormat="1" ht="51">
      <c r="B102" s="170" t="s">
        <v>2303</v>
      </c>
      <c r="C102" s="170" t="s">
        <v>197</v>
      </c>
      <c r="D102" s="3" t="s">
        <v>198</v>
      </c>
      <c r="E102" s="4" t="s">
        <v>112</v>
      </c>
      <c r="F102" s="5" t="s">
        <v>227</v>
      </c>
      <c r="G102" s="432">
        <f>16.51*1.2173</f>
        <v>20.097623000000002</v>
      </c>
      <c r="H102" s="8">
        <f t="shared" si="7"/>
        <v>28098.486716300002</v>
      </c>
    </row>
    <row r="103" spans="2:8" s="1" customFormat="1" ht="51">
      <c r="B103" s="170" t="s">
        <v>2304</v>
      </c>
      <c r="C103" s="170" t="s">
        <v>200</v>
      </c>
      <c r="D103" s="3" t="s">
        <v>201</v>
      </c>
      <c r="E103" s="4" t="s">
        <v>112</v>
      </c>
      <c r="F103" s="5" t="s">
        <v>228</v>
      </c>
      <c r="G103" s="432">
        <f>13.9*1.2173</f>
        <v>16.920470000000002</v>
      </c>
      <c r="H103" s="8">
        <f t="shared" si="7"/>
        <v>14424.700675000002</v>
      </c>
    </row>
    <row r="104" spans="2:8" s="1" customFormat="1" ht="51">
      <c r="B104" s="170" t="s">
        <v>2305</v>
      </c>
      <c r="C104" s="170" t="s">
        <v>203</v>
      </c>
      <c r="D104" s="3" t="s">
        <v>204</v>
      </c>
      <c r="E104" s="4" t="s">
        <v>112</v>
      </c>
      <c r="F104" s="5" t="s">
        <v>229</v>
      </c>
      <c r="G104" s="432">
        <f>13.13*1.2173</f>
        <v>15.983149000000001</v>
      </c>
      <c r="H104" s="8">
        <f t="shared" si="7"/>
        <v>10109.341742500001</v>
      </c>
    </row>
    <row r="105" spans="2:8" s="1" customFormat="1" ht="51">
      <c r="B105" s="170" t="s">
        <v>2306</v>
      </c>
      <c r="C105" s="170" t="s">
        <v>206</v>
      </c>
      <c r="D105" s="3" t="s">
        <v>207</v>
      </c>
      <c r="E105" s="4" t="s">
        <v>112</v>
      </c>
      <c r="F105" s="5" t="s">
        <v>230</v>
      </c>
      <c r="G105" s="432">
        <f>14.64*1.2173</f>
        <v>17.821272</v>
      </c>
      <c r="H105" s="8">
        <f t="shared" si="7"/>
        <v>5979.0367560000004</v>
      </c>
    </row>
    <row r="106" spans="2:8" s="1" customFormat="1" ht="51">
      <c r="B106" s="170" t="s">
        <v>2307</v>
      </c>
      <c r="C106" s="170" t="s">
        <v>231</v>
      </c>
      <c r="D106" s="3" t="s">
        <v>232</v>
      </c>
      <c r="E106" s="4" t="s">
        <v>112</v>
      </c>
      <c r="F106" s="5" t="s">
        <v>233</v>
      </c>
      <c r="G106" s="432">
        <f>14.24*1.2173</f>
        <v>17.334352000000003</v>
      </c>
      <c r="H106" s="8">
        <f t="shared" si="7"/>
        <v>11688.553553600001</v>
      </c>
    </row>
    <row r="107" spans="2:8" s="134" customFormat="1" ht="15" customHeight="1">
      <c r="B107" s="169" t="s">
        <v>234</v>
      </c>
      <c r="C107" s="169"/>
      <c r="D107" s="187" t="s">
        <v>172</v>
      </c>
      <c r="E107" s="187"/>
      <c r="F107" s="187"/>
      <c r="G107" s="187"/>
      <c r="H107" s="190" t="s">
        <v>1154</v>
      </c>
    </row>
    <row r="108" spans="2:8" s="1" customFormat="1" ht="52.5" customHeight="1">
      <c r="B108" s="170" t="s">
        <v>2308</v>
      </c>
      <c r="C108" s="170" t="s">
        <v>1957</v>
      </c>
      <c r="D108" s="3" t="s">
        <v>235</v>
      </c>
      <c r="E108" s="4" t="s">
        <v>75</v>
      </c>
      <c r="F108" s="5" t="s">
        <v>236</v>
      </c>
      <c r="G108" s="5">
        <f>CPU!H141</f>
        <v>579.97438999999997</v>
      </c>
      <c r="H108" s="8">
        <f t="shared" ref="H108:H114" si="8">F108*G108</f>
        <v>43527.077969499995</v>
      </c>
    </row>
    <row r="109" spans="2:8" s="134" customFormat="1" ht="15" customHeight="1">
      <c r="B109" s="169" t="s">
        <v>237</v>
      </c>
      <c r="C109" s="169"/>
      <c r="D109" s="187" t="s">
        <v>238</v>
      </c>
      <c r="E109" s="187"/>
      <c r="F109" s="187"/>
      <c r="G109" s="187"/>
      <c r="H109" s="190" t="s">
        <v>1154</v>
      </c>
    </row>
    <row r="110" spans="2:8" s="134" customFormat="1" ht="15" customHeight="1">
      <c r="B110" s="169" t="s">
        <v>239</v>
      </c>
      <c r="C110" s="169"/>
      <c r="D110" s="187" t="s">
        <v>187</v>
      </c>
      <c r="E110" s="187"/>
      <c r="F110" s="187"/>
      <c r="G110" s="187"/>
      <c r="H110" s="190" t="s">
        <v>1154</v>
      </c>
    </row>
    <row r="111" spans="2:8" s="1" customFormat="1" ht="42.75" customHeight="1">
      <c r="B111" s="170" t="s">
        <v>2309</v>
      </c>
      <c r="C111" s="170" t="s">
        <v>240</v>
      </c>
      <c r="D111" s="3" t="s">
        <v>241</v>
      </c>
      <c r="E111" s="4" t="s">
        <v>24</v>
      </c>
      <c r="F111" s="5" t="s">
        <v>242</v>
      </c>
      <c r="G111" s="5">
        <v>254.22</v>
      </c>
      <c r="H111" s="8">
        <f t="shared" si="8"/>
        <v>228645.46799999999</v>
      </c>
    </row>
    <row r="112" spans="2:8" s="134" customFormat="1" ht="15" customHeight="1">
      <c r="B112" s="169" t="s">
        <v>243</v>
      </c>
      <c r="C112" s="169"/>
      <c r="D112" s="187" t="s">
        <v>152</v>
      </c>
      <c r="E112" s="187"/>
      <c r="F112" s="187"/>
      <c r="G112" s="187"/>
      <c r="H112" s="190" t="s">
        <v>1154</v>
      </c>
    </row>
    <row r="113" spans="2:8" s="1" customFormat="1" ht="51">
      <c r="B113" s="170" t="s">
        <v>2310</v>
      </c>
      <c r="C113" s="170" t="s">
        <v>244</v>
      </c>
      <c r="D113" s="3" t="s">
        <v>245</v>
      </c>
      <c r="E113" s="4" t="s">
        <v>112</v>
      </c>
      <c r="F113" s="5" t="s">
        <v>246</v>
      </c>
      <c r="G113" s="432">
        <f>18*1.2173</f>
        <v>21.9114</v>
      </c>
      <c r="H113" s="8">
        <f t="shared" si="8"/>
        <v>87323.502420000004</v>
      </c>
    </row>
    <row r="114" spans="2:8" s="1" customFormat="1" ht="51.75" customHeight="1">
      <c r="B114" s="170" t="s">
        <v>2311</v>
      </c>
      <c r="C114" s="170" t="s">
        <v>247</v>
      </c>
      <c r="D114" s="3" t="s">
        <v>248</v>
      </c>
      <c r="E114" s="4" t="s">
        <v>112</v>
      </c>
      <c r="F114" s="5" t="s">
        <v>249</v>
      </c>
      <c r="G114" s="432">
        <f>17.16*1.2173</f>
        <v>20.888868000000002</v>
      </c>
      <c r="H114" s="8">
        <f t="shared" si="8"/>
        <v>112866.7315776</v>
      </c>
    </row>
    <row r="115" spans="2:8" s="134" customFormat="1" ht="15" customHeight="1">
      <c r="B115" s="169" t="s">
        <v>250</v>
      </c>
      <c r="C115" s="169"/>
      <c r="D115" s="187" t="s">
        <v>172</v>
      </c>
      <c r="E115" s="187"/>
      <c r="F115" s="187"/>
      <c r="G115" s="187"/>
      <c r="H115" s="188"/>
    </row>
    <row r="116" spans="2:8" s="1" customFormat="1" ht="51.75" customHeight="1">
      <c r="B116" s="170" t="s">
        <v>2312</v>
      </c>
      <c r="C116" s="170" t="s">
        <v>1957</v>
      </c>
      <c r="D116" s="3" t="s">
        <v>235</v>
      </c>
      <c r="E116" s="4" t="s">
        <v>75</v>
      </c>
      <c r="F116" s="5" t="s">
        <v>251</v>
      </c>
      <c r="G116" s="5">
        <f>CPU!H141</f>
        <v>579.97438999999997</v>
      </c>
      <c r="H116" s="8">
        <f t="shared" ref="H116:H122" si="9">F116*G116</f>
        <v>93404.875509500009</v>
      </c>
    </row>
    <row r="117" spans="2:8" s="134" customFormat="1" ht="15" customHeight="1">
      <c r="B117" s="169" t="s">
        <v>252</v>
      </c>
      <c r="C117" s="169"/>
      <c r="D117" s="187" t="s">
        <v>253</v>
      </c>
      <c r="E117" s="187"/>
      <c r="F117" s="187"/>
      <c r="G117" s="187"/>
      <c r="H117" s="188"/>
    </row>
    <row r="118" spans="2:8" s="1" customFormat="1" ht="25.5">
      <c r="B118" s="170" t="s">
        <v>2313</v>
      </c>
      <c r="C118" s="170" t="s">
        <v>1958</v>
      </c>
      <c r="D118" s="3" t="s">
        <v>254</v>
      </c>
      <c r="E118" s="4" t="s">
        <v>24</v>
      </c>
      <c r="F118" s="5">
        <v>2776.67</v>
      </c>
      <c r="G118" s="5">
        <f>CPU!H150</f>
        <v>284.98453999999998</v>
      </c>
      <c r="H118" s="8">
        <f t="shared" si="9"/>
        <v>791308.02268179995</v>
      </c>
    </row>
    <row r="119" spans="2:8" s="1" customFormat="1" ht="25.5">
      <c r="B119" s="170" t="s">
        <v>2314</v>
      </c>
      <c r="C119" s="170" t="s">
        <v>1961</v>
      </c>
      <c r="D119" s="85" t="s">
        <v>1801</v>
      </c>
      <c r="E119" s="96" t="s">
        <v>24</v>
      </c>
      <c r="F119" s="5">
        <v>2873.33</v>
      </c>
      <c r="G119" s="5">
        <f>CPU!H159</f>
        <v>257.39654000000002</v>
      </c>
      <c r="H119" s="8">
        <f t="shared" si="9"/>
        <v>739585.20027819998</v>
      </c>
    </row>
    <row r="120" spans="2:8" s="134" customFormat="1" ht="15" customHeight="1">
      <c r="B120" s="169" t="s">
        <v>255</v>
      </c>
      <c r="C120" s="169"/>
      <c r="D120" s="187" t="s">
        <v>256</v>
      </c>
      <c r="E120" s="187"/>
      <c r="F120" s="187"/>
      <c r="G120" s="187"/>
      <c r="H120" s="188"/>
    </row>
    <row r="121" spans="2:8" s="134" customFormat="1" ht="15" customHeight="1">
      <c r="B121" s="169" t="s">
        <v>257</v>
      </c>
      <c r="C121" s="169"/>
      <c r="D121" s="187" t="s">
        <v>187</v>
      </c>
      <c r="E121" s="187"/>
      <c r="F121" s="187"/>
      <c r="G121" s="187"/>
      <c r="H121" s="188"/>
    </row>
    <row r="122" spans="2:8" s="1" customFormat="1" ht="51">
      <c r="B122" s="170" t="s">
        <v>2315</v>
      </c>
      <c r="C122" s="170" t="s">
        <v>258</v>
      </c>
      <c r="D122" s="3" t="s">
        <v>259</v>
      </c>
      <c r="E122" s="4" t="s">
        <v>24</v>
      </c>
      <c r="F122" s="5" t="s">
        <v>260</v>
      </c>
      <c r="G122" s="5">
        <v>39.97</v>
      </c>
      <c r="H122" s="8">
        <f t="shared" si="9"/>
        <v>100592.499</v>
      </c>
    </row>
    <row r="123" spans="2:8" s="134" customFormat="1" ht="15" customHeight="1">
      <c r="B123" s="169" t="s">
        <v>261</v>
      </c>
      <c r="C123" s="169"/>
      <c r="D123" s="187" t="s">
        <v>152</v>
      </c>
      <c r="E123" s="187"/>
      <c r="F123" s="187"/>
      <c r="G123" s="187"/>
      <c r="H123" s="190" t="s">
        <v>1154</v>
      </c>
    </row>
    <row r="124" spans="2:8" s="1" customFormat="1" ht="38.25">
      <c r="B124" s="170" t="s">
        <v>2316</v>
      </c>
      <c r="C124" s="170" t="s">
        <v>262</v>
      </c>
      <c r="D124" s="3" t="s">
        <v>263</v>
      </c>
      <c r="E124" s="4" t="s">
        <v>112</v>
      </c>
      <c r="F124" s="5" t="s">
        <v>264</v>
      </c>
      <c r="G124" s="5">
        <v>15.89</v>
      </c>
      <c r="H124" s="8">
        <f t="shared" ref="H124:H129" si="10">F124*G124</f>
        <v>122894.84900000002</v>
      </c>
    </row>
    <row r="125" spans="2:8" s="1" customFormat="1" ht="38.25">
      <c r="B125" s="170" t="s">
        <v>2317</v>
      </c>
      <c r="C125" s="170" t="s">
        <v>265</v>
      </c>
      <c r="D125" s="3" t="s">
        <v>266</v>
      </c>
      <c r="E125" s="4" t="s">
        <v>112</v>
      </c>
      <c r="F125" s="5" t="s">
        <v>267</v>
      </c>
      <c r="G125" s="5">
        <v>15.1</v>
      </c>
      <c r="H125" s="8">
        <f t="shared" si="10"/>
        <v>106154.51000000001</v>
      </c>
    </row>
    <row r="126" spans="2:8" s="1" customFormat="1" ht="38.25">
      <c r="B126" s="170" t="s">
        <v>2318</v>
      </c>
      <c r="C126" s="170" t="s">
        <v>268</v>
      </c>
      <c r="D126" s="3" t="s">
        <v>269</v>
      </c>
      <c r="E126" s="4" t="s">
        <v>112</v>
      </c>
      <c r="F126" s="5" t="s">
        <v>270</v>
      </c>
      <c r="G126" s="5">
        <v>13.55</v>
      </c>
      <c r="H126" s="8">
        <f t="shared" si="10"/>
        <v>32299.134999999998</v>
      </c>
    </row>
    <row r="127" spans="2:8" s="1" customFormat="1" ht="38.25">
      <c r="B127" s="170" t="s">
        <v>2319</v>
      </c>
      <c r="C127" s="170" t="s">
        <v>271</v>
      </c>
      <c r="D127" s="3" t="s">
        <v>272</v>
      </c>
      <c r="E127" s="4" t="s">
        <v>112</v>
      </c>
      <c r="F127" s="5" t="s">
        <v>273</v>
      </c>
      <c r="G127" s="5">
        <v>11.5</v>
      </c>
      <c r="H127" s="8">
        <f t="shared" si="10"/>
        <v>18532.25</v>
      </c>
    </row>
    <row r="128" spans="2:8" s="134" customFormat="1" ht="15" customHeight="1">
      <c r="B128" s="169" t="s">
        <v>274</v>
      </c>
      <c r="C128" s="169"/>
      <c r="D128" s="187" t="s">
        <v>172</v>
      </c>
      <c r="E128" s="187"/>
      <c r="F128" s="187"/>
      <c r="G128" s="187"/>
      <c r="H128" s="190" t="s">
        <v>1154</v>
      </c>
    </row>
    <row r="129" spans="2:8" s="1" customFormat="1" ht="38.25">
      <c r="B129" s="170" t="s">
        <v>2320</v>
      </c>
      <c r="C129" s="170" t="s">
        <v>275</v>
      </c>
      <c r="D129" s="3" t="s">
        <v>276</v>
      </c>
      <c r="E129" s="4" t="s">
        <v>75</v>
      </c>
      <c r="F129" s="5" t="s">
        <v>277</v>
      </c>
      <c r="G129" s="5">
        <v>598.51</v>
      </c>
      <c r="H129" s="8">
        <f t="shared" si="10"/>
        <v>164039.62079999998</v>
      </c>
    </row>
    <row r="130" spans="2:8" s="134" customFormat="1" ht="15" customHeight="1">
      <c r="B130" s="169" t="s">
        <v>278</v>
      </c>
      <c r="C130" s="169"/>
      <c r="D130" s="187" t="s">
        <v>279</v>
      </c>
      <c r="E130" s="187"/>
      <c r="F130" s="187"/>
      <c r="G130" s="187"/>
      <c r="H130" s="190" t="s">
        <v>1154</v>
      </c>
    </row>
    <row r="131" spans="2:8" s="134" customFormat="1" ht="15" customHeight="1">
      <c r="B131" s="169" t="s">
        <v>280</v>
      </c>
      <c r="C131" s="169"/>
      <c r="D131" s="187" t="s">
        <v>187</v>
      </c>
      <c r="E131" s="187"/>
      <c r="F131" s="187"/>
      <c r="G131" s="187"/>
      <c r="H131" s="190" t="s">
        <v>1154</v>
      </c>
    </row>
    <row r="132" spans="2:8" s="1" customFormat="1" ht="51">
      <c r="B132" s="170" t="s">
        <v>2321</v>
      </c>
      <c r="C132" s="170" t="s">
        <v>258</v>
      </c>
      <c r="D132" s="3" t="s">
        <v>259</v>
      </c>
      <c r="E132" s="4" t="s">
        <v>24</v>
      </c>
      <c r="F132" s="5" t="s">
        <v>281</v>
      </c>
      <c r="G132" s="5">
        <v>39.97</v>
      </c>
      <c r="H132" s="8">
        <f t="shared" ref="H132:H138" si="11">F132*G132</f>
        <v>8585.5560000000005</v>
      </c>
    </row>
    <row r="133" spans="2:8" s="1" customFormat="1" ht="51">
      <c r="B133" s="170" t="s">
        <v>2322</v>
      </c>
      <c r="C133" s="170" t="s">
        <v>240</v>
      </c>
      <c r="D133" s="3" t="s">
        <v>282</v>
      </c>
      <c r="E133" s="4" t="s">
        <v>24</v>
      </c>
      <c r="F133" s="5" t="s">
        <v>283</v>
      </c>
      <c r="G133" s="5">
        <v>254.22</v>
      </c>
      <c r="H133" s="8">
        <f t="shared" si="11"/>
        <v>4347.1620000000003</v>
      </c>
    </row>
    <row r="134" spans="2:8" s="134" customFormat="1" ht="15" customHeight="1">
      <c r="B134" s="169" t="s">
        <v>284</v>
      </c>
      <c r="C134" s="169"/>
      <c r="D134" s="187" t="s">
        <v>152</v>
      </c>
      <c r="E134" s="187"/>
      <c r="F134" s="187"/>
      <c r="G134" s="187"/>
      <c r="H134" s="190" t="s">
        <v>1154</v>
      </c>
    </row>
    <row r="135" spans="2:8" s="1" customFormat="1" ht="38.25">
      <c r="B135" s="170" t="s">
        <v>2323</v>
      </c>
      <c r="C135" s="170" t="s">
        <v>265</v>
      </c>
      <c r="D135" s="3" t="s">
        <v>266</v>
      </c>
      <c r="E135" s="4" t="s">
        <v>112</v>
      </c>
      <c r="F135" s="5" t="s">
        <v>285</v>
      </c>
      <c r="G135" s="5">
        <v>15.1</v>
      </c>
      <c r="H135" s="8">
        <f t="shared" si="11"/>
        <v>24898.39</v>
      </c>
    </row>
    <row r="136" spans="2:8" s="1" customFormat="1" ht="38.25">
      <c r="B136" s="170" t="s">
        <v>2324</v>
      </c>
      <c r="C136" s="170" t="s">
        <v>268</v>
      </c>
      <c r="D136" s="3" t="s">
        <v>269</v>
      </c>
      <c r="E136" s="4" t="s">
        <v>112</v>
      </c>
      <c r="F136" s="5" t="s">
        <v>286</v>
      </c>
      <c r="G136" s="5">
        <v>13.55</v>
      </c>
      <c r="H136" s="8">
        <f t="shared" si="11"/>
        <v>8883.380000000001</v>
      </c>
    </row>
    <row r="137" spans="2:8" s="134" customFormat="1" ht="15" customHeight="1">
      <c r="B137" s="169" t="s">
        <v>287</v>
      </c>
      <c r="C137" s="169"/>
      <c r="D137" s="187" t="s">
        <v>172</v>
      </c>
      <c r="E137" s="187"/>
      <c r="F137" s="187"/>
      <c r="G137" s="187"/>
      <c r="H137" s="190" t="s">
        <v>1154</v>
      </c>
    </row>
    <row r="138" spans="2:8" s="1" customFormat="1" ht="38.25">
      <c r="B138" s="170" t="s">
        <v>2325</v>
      </c>
      <c r="C138" s="170" t="s">
        <v>1962</v>
      </c>
      <c r="D138" s="3" t="s">
        <v>288</v>
      </c>
      <c r="E138" s="4" t="s">
        <v>75</v>
      </c>
      <c r="F138" s="5" t="s">
        <v>289</v>
      </c>
      <c r="G138" s="5">
        <f>CPU!H166</f>
        <v>538.98209600000007</v>
      </c>
      <c r="H138" s="8">
        <f t="shared" si="11"/>
        <v>11857.606112000001</v>
      </c>
    </row>
    <row r="139" spans="2:8" s="134" customFormat="1" ht="15" customHeight="1">
      <c r="B139" s="169" t="s">
        <v>290</v>
      </c>
      <c r="C139" s="169"/>
      <c r="D139" s="187" t="s">
        <v>291</v>
      </c>
      <c r="E139" s="187"/>
      <c r="F139" s="187"/>
      <c r="G139" s="187"/>
      <c r="H139" s="190" t="s">
        <v>1154</v>
      </c>
    </row>
    <row r="140" spans="2:8" s="134" customFormat="1" ht="15" customHeight="1">
      <c r="B140" s="169" t="s">
        <v>292</v>
      </c>
      <c r="C140" s="169"/>
      <c r="D140" s="187" t="s">
        <v>187</v>
      </c>
      <c r="E140" s="187"/>
      <c r="F140" s="187"/>
      <c r="G140" s="187"/>
      <c r="H140" s="190" t="s">
        <v>1154</v>
      </c>
    </row>
    <row r="141" spans="2:8" s="1" customFormat="1" ht="39.75" customHeight="1">
      <c r="B141" s="170" t="s">
        <v>2326</v>
      </c>
      <c r="C141" s="170" t="s">
        <v>2208</v>
      </c>
      <c r="D141" s="3" t="s">
        <v>293</v>
      </c>
      <c r="E141" s="4" t="s">
        <v>24</v>
      </c>
      <c r="F141" s="5" t="s">
        <v>294</v>
      </c>
      <c r="G141" s="5">
        <v>278.27999999999997</v>
      </c>
      <c r="H141" s="8">
        <f t="shared" ref="H141:H147" si="12">F141*G141</f>
        <v>34857.352800000001</v>
      </c>
    </row>
    <row r="142" spans="2:8" s="134" customFormat="1" ht="15" customHeight="1">
      <c r="B142" s="169" t="s">
        <v>295</v>
      </c>
      <c r="C142" s="169"/>
      <c r="D142" s="187" t="s">
        <v>152</v>
      </c>
      <c r="E142" s="187"/>
      <c r="F142" s="187"/>
      <c r="G142" s="187"/>
      <c r="H142" s="190" t="s">
        <v>1154</v>
      </c>
    </row>
    <row r="143" spans="2:8" s="1" customFormat="1" ht="39" customHeight="1">
      <c r="B143" s="170" t="s">
        <v>2327</v>
      </c>
      <c r="C143" s="170" t="s">
        <v>296</v>
      </c>
      <c r="D143" s="3" t="s">
        <v>297</v>
      </c>
      <c r="E143" s="4" t="s">
        <v>112</v>
      </c>
      <c r="F143" s="5" t="s">
        <v>298</v>
      </c>
      <c r="G143" s="5">
        <v>21.33</v>
      </c>
      <c r="H143" s="8">
        <f t="shared" si="12"/>
        <v>2698.2449999999999</v>
      </c>
    </row>
    <row r="144" spans="2:8" s="1" customFormat="1" ht="41.25" customHeight="1">
      <c r="B144" s="170" t="s">
        <v>2328</v>
      </c>
      <c r="C144" s="170" t="s">
        <v>299</v>
      </c>
      <c r="D144" s="3" t="s">
        <v>300</v>
      </c>
      <c r="E144" s="4" t="s">
        <v>112</v>
      </c>
      <c r="F144" s="5" t="s">
        <v>301</v>
      </c>
      <c r="G144" s="5">
        <v>17.8</v>
      </c>
      <c r="H144" s="8">
        <f t="shared" si="12"/>
        <v>5658.62</v>
      </c>
    </row>
    <row r="145" spans="2:8" s="1" customFormat="1" ht="39" customHeight="1">
      <c r="B145" s="170" t="s">
        <v>2329</v>
      </c>
      <c r="C145" s="170" t="s">
        <v>302</v>
      </c>
      <c r="D145" s="3" t="s">
        <v>303</v>
      </c>
      <c r="E145" s="4" t="s">
        <v>112</v>
      </c>
      <c r="F145" s="5" t="s">
        <v>304</v>
      </c>
      <c r="G145" s="5">
        <v>14.5</v>
      </c>
      <c r="H145" s="8">
        <f t="shared" si="12"/>
        <v>2615.8000000000002</v>
      </c>
    </row>
    <row r="146" spans="2:8" s="134" customFormat="1" ht="15" customHeight="1">
      <c r="B146" s="169" t="s">
        <v>305</v>
      </c>
      <c r="C146" s="169"/>
      <c r="D146" s="187" t="s">
        <v>172</v>
      </c>
      <c r="E146" s="187"/>
      <c r="F146" s="187"/>
      <c r="G146" s="187"/>
      <c r="H146" s="190" t="s">
        <v>1154</v>
      </c>
    </row>
    <row r="147" spans="2:8" s="1" customFormat="1" ht="51.75" customHeight="1">
      <c r="B147" s="170" t="s">
        <v>2330</v>
      </c>
      <c r="C147" s="170" t="s">
        <v>1957</v>
      </c>
      <c r="D147" s="3" t="s">
        <v>235</v>
      </c>
      <c r="E147" s="4" t="s">
        <v>75</v>
      </c>
      <c r="F147" s="5" t="s">
        <v>306</v>
      </c>
      <c r="G147" s="5">
        <f>CPU!H141</f>
        <v>579.97438999999997</v>
      </c>
      <c r="H147" s="8">
        <f t="shared" si="12"/>
        <v>13049.423774999999</v>
      </c>
    </row>
    <row r="148" spans="2:8" s="134" customFormat="1" ht="15" customHeight="1">
      <c r="B148" s="169" t="s">
        <v>307</v>
      </c>
      <c r="C148" s="169"/>
      <c r="D148" s="187" t="s">
        <v>308</v>
      </c>
      <c r="E148" s="187"/>
      <c r="F148" s="187"/>
      <c r="G148" s="187"/>
      <c r="H148" s="190" t="s">
        <v>1154</v>
      </c>
    </row>
    <row r="149" spans="2:8" s="1" customFormat="1" ht="25.5">
      <c r="B149" s="170" t="s">
        <v>2331</v>
      </c>
      <c r="C149" s="170" t="s">
        <v>309</v>
      </c>
      <c r="D149" s="3" t="s">
        <v>310</v>
      </c>
      <c r="E149" s="4" t="s">
        <v>37</v>
      </c>
      <c r="F149" s="5" t="s">
        <v>311</v>
      </c>
      <c r="G149" s="5">
        <v>59.75</v>
      </c>
      <c r="H149" s="8">
        <f t="shared" ref="H149:H155" si="13">F149*G149</f>
        <v>1434</v>
      </c>
    </row>
    <row r="150" spans="2:8" s="1" customFormat="1" ht="27" customHeight="1">
      <c r="B150" s="170" t="s">
        <v>2332</v>
      </c>
      <c r="C150" s="170" t="s">
        <v>312</v>
      </c>
      <c r="D150" s="3" t="s">
        <v>313</v>
      </c>
      <c r="E150" s="4" t="s">
        <v>37</v>
      </c>
      <c r="F150" s="5" t="s">
        <v>314</v>
      </c>
      <c r="G150" s="5">
        <v>95.71</v>
      </c>
      <c r="H150" s="8">
        <f t="shared" si="13"/>
        <v>4594.08</v>
      </c>
    </row>
    <row r="151" spans="2:8" s="1" customFormat="1" ht="25.5">
      <c r="B151" s="170" t="s">
        <v>2333</v>
      </c>
      <c r="C151" s="170" t="s">
        <v>315</v>
      </c>
      <c r="D151" s="3" t="s">
        <v>316</v>
      </c>
      <c r="E151" s="4" t="s">
        <v>37</v>
      </c>
      <c r="F151" s="5" t="s">
        <v>317</v>
      </c>
      <c r="G151" s="5">
        <v>122.26</v>
      </c>
      <c r="H151" s="8">
        <f t="shared" si="13"/>
        <v>29464.66</v>
      </c>
    </row>
    <row r="152" spans="2:8" s="1" customFormat="1" ht="38.25">
      <c r="B152" s="170" t="s">
        <v>2334</v>
      </c>
      <c r="C152" s="177" t="s">
        <v>1233</v>
      </c>
      <c r="D152" s="85" t="s">
        <v>1802</v>
      </c>
      <c r="E152" s="96" t="s">
        <v>24</v>
      </c>
      <c r="F152" s="5">
        <v>2797.28</v>
      </c>
      <c r="G152" s="5">
        <v>36.409999999999997</v>
      </c>
      <c r="H152" s="8">
        <f t="shared" si="13"/>
        <v>101848.9648</v>
      </c>
    </row>
    <row r="153" spans="2:8" s="134" customFormat="1" ht="15" customHeight="1">
      <c r="B153" s="169" t="s">
        <v>318</v>
      </c>
      <c r="C153" s="169"/>
      <c r="D153" s="187" t="s">
        <v>319</v>
      </c>
      <c r="E153" s="187"/>
      <c r="F153" s="187"/>
      <c r="G153" s="187"/>
      <c r="H153" s="190" t="s">
        <v>1154</v>
      </c>
    </row>
    <row r="154" spans="2:8" s="1" customFormat="1" ht="25.5" customHeight="1">
      <c r="B154" s="170" t="s">
        <v>2335</v>
      </c>
      <c r="C154" s="170" t="s">
        <v>2173</v>
      </c>
      <c r="D154" s="136" t="s">
        <v>320</v>
      </c>
      <c r="E154" s="4" t="s">
        <v>24</v>
      </c>
      <c r="F154" s="5" t="s">
        <v>321</v>
      </c>
      <c r="G154" s="5">
        <f>CPU!H174</f>
        <v>20.675871000000001</v>
      </c>
      <c r="H154" s="8">
        <f t="shared" si="13"/>
        <v>1693.3538349000003</v>
      </c>
    </row>
    <row r="155" spans="2:8" s="1" customFormat="1" ht="25.5">
      <c r="B155" s="170" t="s">
        <v>2336</v>
      </c>
      <c r="C155" s="170" t="s">
        <v>2174</v>
      </c>
      <c r="D155" s="3" t="s">
        <v>322</v>
      </c>
      <c r="E155" s="4" t="s">
        <v>15</v>
      </c>
      <c r="F155" s="5" t="s">
        <v>323</v>
      </c>
      <c r="G155" s="5">
        <f>CPU!H180</f>
        <v>162.69030000000001</v>
      </c>
      <c r="H155" s="8">
        <f t="shared" si="13"/>
        <v>19685.526300000001</v>
      </c>
    </row>
    <row r="156" spans="2:8" s="134" customFormat="1" ht="15" customHeight="1">
      <c r="B156" s="170"/>
      <c r="C156" s="170"/>
      <c r="D156" s="193" t="s">
        <v>1165</v>
      </c>
      <c r="E156" s="194"/>
      <c r="F156" s="195"/>
      <c r="G156" s="195"/>
      <c r="H156" s="196">
        <f>SUM(H85:H155)</f>
        <v>3441182.5515048401</v>
      </c>
    </row>
    <row r="157" spans="2:8" s="134" customFormat="1" ht="15" customHeight="1">
      <c r="B157" s="169" t="s">
        <v>324</v>
      </c>
      <c r="C157" s="169"/>
      <c r="D157" s="187" t="s">
        <v>325</v>
      </c>
      <c r="E157" s="187"/>
      <c r="F157" s="187"/>
      <c r="G157" s="187"/>
      <c r="H157" s="190" t="s">
        <v>1154</v>
      </c>
    </row>
    <row r="158" spans="2:8" s="134" customFormat="1" ht="15" customHeight="1">
      <c r="B158" s="169" t="s">
        <v>326</v>
      </c>
      <c r="C158" s="169"/>
      <c r="D158" s="187" t="s">
        <v>327</v>
      </c>
      <c r="E158" s="187"/>
      <c r="F158" s="187"/>
      <c r="G158" s="187"/>
      <c r="H158" s="190" t="s">
        <v>1154</v>
      </c>
    </row>
    <row r="159" spans="2:8" s="1" customFormat="1" ht="25.5" customHeight="1">
      <c r="B159" s="170" t="s">
        <v>2337</v>
      </c>
      <c r="C159" s="170" t="s">
        <v>1965</v>
      </c>
      <c r="D159" s="136" t="s">
        <v>1162</v>
      </c>
      <c r="E159" s="4" t="s">
        <v>112</v>
      </c>
      <c r="F159" s="5">
        <v>329508.25</v>
      </c>
      <c r="G159" s="5">
        <f>CPU!H187</f>
        <v>15.553920000000002</v>
      </c>
      <c r="H159" s="8">
        <f t="shared" ref="H159:H160" si="14">F159*G159</f>
        <v>5125144.9598400006</v>
      </c>
    </row>
    <row r="160" spans="2:8" s="1" customFormat="1" ht="27.75" customHeight="1">
      <c r="B160" s="170" t="s">
        <v>2338</v>
      </c>
      <c r="C160" s="170" t="s">
        <v>1967</v>
      </c>
      <c r="D160" s="3" t="s">
        <v>1225</v>
      </c>
      <c r="E160" s="4" t="s">
        <v>24</v>
      </c>
      <c r="F160" s="5">
        <v>6974</v>
      </c>
      <c r="G160" s="5">
        <f>CPU!H195</f>
        <v>6.9200100000000004</v>
      </c>
      <c r="H160" s="8">
        <f t="shared" si="14"/>
        <v>48260.149740000001</v>
      </c>
    </row>
    <row r="161" spans="2:8" s="1" customFormat="1" ht="17.25" customHeight="1">
      <c r="B161" s="170"/>
      <c r="C161" s="170"/>
      <c r="D161" s="193" t="s">
        <v>1166</v>
      </c>
      <c r="E161" s="4"/>
      <c r="F161" s="5"/>
      <c r="G161" s="5"/>
      <c r="H161" s="196">
        <f>SUM(H159:H160)</f>
        <v>5173405.1095800009</v>
      </c>
    </row>
    <row r="162" spans="2:8" s="134" customFormat="1" ht="20.100000000000001" customHeight="1">
      <c r="B162" s="172"/>
      <c r="C162" s="178"/>
      <c r="D162" s="179" t="s">
        <v>2789</v>
      </c>
      <c r="E162" s="180"/>
      <c r="F162" s="181"/>
      <c r="G162" s="181"/>
      <c r="H162" s="182">
        <f>H62+H80+H156+H161</f>
        <v>10654650.735386366</v>
      </c>
    </row>
    <row r="163" spans="2:8" s="134" customFormat="1" ht="20.100000000000001" customHeight="1">
      <c r="B163" s="167" t="s">
        <v>328</v>
      </c>
      <c r="C163" s="167"/>
      <c r="D163" s="183" t="s">
        <v>329</v>
      </c>
      <c r="E163" s="183"/>
      <c r="F163" s="183"/>
      <c r="G163" s="183"/>
      <c r="H163" s="191" t="s">
        <v>1154</v>
      </c>
    </row>
    <row r="164" spans="2:8" s="134" customFormat="1" ht="15" customHeight="1">
      <c r="B164" s="168" t="s">
        <v>330</v>
      </c>
      <c r="C164" s="168"/>
      <c r="D164" s="185" t="s">
        <v>331</v>
      </c>
      <c r="E164" s="185"/>
      <c r="F164" s="185"/>
      <c r="G164" s="185"/>
      <c r="H164" s="192" t="s">
        <v>1154</v>
      </c>
    </row>
    <row r="165" spans="2:8" s="134" customFormat="1" ht="15" customHeight="1">
      <c r="B165" s="163" t="s">
        <v>332</v>
      </c>
      <c r="C165" s="163"/>
      <c r="D165" s="164" t="s">
        <v>333</v>
      </c>
      <c r="E165" s="164"/>
      <c r="F165" s="164"/>
      <c r="G165" s="164"/>
      <c r="H165" s="198" t="s">
        <v>1154</v>
      </c>
    </row>
    <row r="166" spans="2:8" s="134" customFormat="1" ht="15" customHeight="1">
      <c r="B166" s="169" t="s">
        <v>334</v>
      </c>
      <c r="C166" s="169"/>
      <c r="D166" s="187" t="s">
        <v>2720</v>
      </c>
      <c r="E166" s="187"/>
      <c r="F166" s="187"/>
      <c r="G166" s="187"/>
      <c r="H166" s="190" t="s">
        <v>1154</v>
      </c>
    </row>
    <row r="167" spans="2:8" s="1" customFormat="1" ht="63.75">
      <c r="B167" s="170" t="s">
        <v>2339</v>
      </c>
      <c r="C167" s="170" t="s">
        <v>2825</v>
      </c>
      <c r="D167" s="3" t="s">
        <v>335</v>
      </c>
      <c r="E167" s="4" t="s">
        <v>24</v>
      </c>
      <c r="F167" s="5">
        <v>2575.4499999999998</v>
      </c>
      <c r="G167" s="5">
        <v>57.86</v>
      </c>
      <c r="H167" s="8">
        <f t="shared" ref="H167:H170" si="15">F167*G167</f>
        <v>149015.53699999998</v>
      </c>
    </row>
    <row r="168" spans="2:8" s="1" customFormat="1" ht="67.5" customHeight="1">
      <c r="B168" s="170" t="s">
        <v>2340</v>
      </c>
      <c r="C168" s="170" t="s">
        <v>2826</v>
      </c>
      <c r="D168" s="3" t="s">
        <v>336</v>
      </c>
      <c r="E168" s="4" t="s">
        <v>24</v>
      </c>
      <c r="F168" s="5" t="s">
        <v>337</v>
      </c>
      <c r="G168" s="5">
        <v>94.79</v>
      </c>
      <c r="H168" s="8">
        <f t="shared" si="15"/>
        <v>23413.13</v>
      </c>
    </row>
    <row r="169" spans="2:8" s="1" customFormat="1" ht="25.5">
      <c r="B169" s="170" t="s">
        <v>2341</v>
      </c>
      <c r="C169" s="170" t="s">
        <v>338</v>
      </c>
      <c r="D169" s="3" t="s">
        <v>339</v>
      </c>
      <c r="E169" s="4" t="s">
        <v>15</v>
      </c>
      <c r="F169" s="5" t="s">
        <v>340</v>
      </c>
      <c r="G169" s="5">
        <v>42.46</v>
      </c>
      <c r="H169" s="8">
        <f t="shared" si="15"/>
        <v>1061.5</v>
      </c>
    </row>
    <row r="170" spans="2:8" s="1" customFormat="1" ht="25.5">
      <c r="B170" s="170" t="s">
        <v>2342</v>
      </c>
      <c r="C170" s="170" t="s">
        <v>341</v>
      </c>
      <c r="D170" s="3" t="s">
        <v>342</v>
      </c>
      <c r="E170" s="4" t="s">
        <v>15</v>
      </c>
      <c r="F170" s="5" t="s">
        <v>343</v>
      </c>
      <c r="G170" s="5">
        <v>26.87</v>
      </c>
      <c r="H170" s="8">
        <f t="shared" si="15"/>
        <v>33754.094000000005</v>
      </c>
    </row>
    <row r="171" spans="2:8" s="134" customFormat="1" ht="15" customHeight="1">
      <c r="B171" s="169" t="s">
        <v>344</v>
      </c>
      <c r="C171" s="169"/>
      <c r="D171" s="187" t="s">
        <v>2721</v>
      </c>
      <c r="E171" s="187"/>
      <c r="F171" s="187"/>
      <c r="G171" s="187"/>
      <c r="H171" s="190" t="s">
        <v>1154</v>
      </c>
    </row>
    <row r="172" spans="2:8" s="1" customFormat="1" ht="39.75" customHeight="1">
      <c r="B172" s="170" t="s">
        <v>2343</v>
      </c>
      <c r="C172" s="170" t="s">
        <v>1968</v>
      </c>
      <c r="D172" s="3" t="s">
        <v>345</v>
      </c>
      <c r="E172" s="4" t="s">
        <v>24</v>
      </c>
      <c r="F172" s="5">
        <v>364.79</v>
      </c>
      <c r="G172" s="5">
        <f>CPU!H202</f>
        <v>262.21133800000001</v>
      </c>
      <c r="H172" s="8">
        <f t="shared" ref="H172:H177" si="16">F172*G172</f>
        <v>95652.073989020006</v>
      </c>
    </row>
    <row r="173" spans="2:8" s="134" customFormat="1" ht="15" customHeight="1">
      <c r="B173" s="169" t="s">
        <v>346</v>
      </c>
      <c r="C173" s="169"/>
      <c r="D173" s="187" t="s">
        <v>2722</v>
      </c>
      <c r="E173" s="187"/>
      <c r="F173" s="187"/>
      <c r="G173" s="187"/>
      <c r="H173" s="190" t="s">
        <v>1154</v>
      </c>
    </row>
    <row r="174" spans="2:8" s="1" customFormat="1" ht="38.25">
      <c r="B174" s="170" t="s">
        <v>2344</v>
      </c>
      <c r="C174" s="170" t="s">
        <v>2175</v>
      </c>
      <c r="D174" s="3" t="s">
        <v>347</v>
      </c>
      <c r="E174" s="4" t="s">
        <v>24</v>
      </c>
      <c r="F174" s="5">
        <v>251.29</v>
      </c>
      <c r="G174" s="5">
        <f>CPU!H211</f>
        <v>412.83913999999999</v>
      </c>
      <c r="H174" s="8">
        <f t="shared" si="16"/>
        <v>103742.34749059999</v>
      </c>
    </row>
    <row r="175" spans="2:8" s="1" customFormat="1" ht="38.25">
      <c r="B175" s="170" t="s">
        <v>2345</v>
      </c>
      <c r="C175" s="170" t="s">
        <v>2176</v>
      </c>
      <c r="D175" s="3" t="s">
        <v>348</v>
      </c>
      <c r="E175" s="4" t="s">
        <v>24</v>
      </c>
      <c r="F175" s="5">
        <v>616.95000000000005</v>
      </c>
      <c r="G175" s="5">
        <f>CPU!H220</f>
        <v>503.63075999999995</v>
      </c>
      <c r="H175" s="8">
        <f t="shared" si="16"/>
        <v>310714.99738199997</v>
      </c>
    </row>
    <row r="176" spans="2:8" s="134" customFormat="1" ht="15" customHeight="1">
      <c r="B176" s="169" t="s">
        <v>349</v>
      </c>
      <c r="C176" s="169"/>
      <c r="D176" s="187" t="s">
        <v>2723</v>
      </c>
      <c r="E176" s="187"/>
      <c r="F176" s="187"/>
      <c r="G176" s="187"/>
      <c r="H176" s="190" t="s">
        <v>1154</v>
      </c>
    </row>
    <row r="177" spans="2:8" s="1" customFormat="1" ht="42" customHeight="1">
      <c r="B177" s="170" t="s">
        <v>2346</v>
      </c>
      <c r="C177" s="170" t="s">
        <v>1972</v>
      </c>
      <c r="D177" s="3" t="s">
        <v>1804</v>
      </c>
      <c r="E177" s="4" t="s">
        <v>24</v>
      </c>
      <c r="F177" s="5" t="s">
        <v>350</v>
      </c>
      <c r="G177" s="5">
        <f>CPU!H228</f>
        <v>641.41390200000001</v>
      </c>
      <c r="H177" s="8">
        <f t="shared" si="16"/>
        <v>91401.481035000004</v>
      </c>
    </row>
    <row r="178" spans="2:8" s="1" customFormat="1" ht="15" customHeight="1">
      <c r="B178" s="174"/>
      <c r="C178" s="7"/>
      <c r="D178" s="193" t="s">
        <v>1167</v>
      </c>
      <c r="E178" s="194"/>
      <c r="F178" s="195"/>
      <c r="G178" s="195"/>
      <c r="H178" s="196">
        <f>SUM(H167:H177)</f>
        <v>808755.16089662001</v>
      </c>
    </row>
    <row r="179" spans="2:8" s="134" customFormat="1" ht="15" customHeight="1">
      <c r="B179" s="169" t="s">
        <v>351</v>
      </c>
      <c r="C179" s="169"/>
      <c r="D179" s="187" t="s">
        <v>352</v>
      </c>
      <c r="E179" s="187"/>
      <c r="F179" s="187"/>
      <c r="G179" s="187"/>
      <c r="H179" s="190" t="s">
        <v>1154</v>
      </c>
    </row>
    <row r="180" spans="2:8" s="134" customFormat="1" ht="15" customHeight="1">
      <c r="B180" s="169" t="s">
        <v>353</v>
      </c>
      <c r="C180" s="169"/>
      <c r="D180" s="187" t="s">
        <v>354</v>
      </c>
      <c r="E180" s="187"/>
      <c r="F180" s="187"/>
      <c r="G180" s="187"/>
      <c r="H180" s="190" t="s">
        <v>1154</v>
      </c>
    </row>
    <row r="181" spans="2:8" s="1" customFormat="1" ht="25.5">
      <c r="B181" s="170" t="s">
        <v>2347</v>
      </c>
      <c r="C181" s="170" t="s">
        <v>1973</v>
      </c>
      <c r="D181" s="3" t="s">
        <v>355</v>
      </c>
      <c r="E181" s="4" t="s">
        <v>24</v>
      </c>
      <c r="F181" s="5">
        <v>201.43</v>
      </c>
      <c r="G181" s="5">
        <f>CPU!H232</f>
        <v>441.70716512999996</v>
      </c>
      <c r="H181" s="8">
        <f t="shared" ref="H181:H188" si="17">F181*G181</f>
        <v>88973.074272135898</v>
      </c>
    </row>
    <row r="182" spans="2:8" s="1" customFormat="1" ht="29.25" customHeight="1">
      <c r="B182" s="170" t="s">
        <v>2348</v>
      </c>
      <c r="C182" s="170" t="s">
        <v>1975</v>
      </c>
      <c r="D182" s="136" t="s">
        <v>356</v>
      </c>
      <c r="E182" s="4" t="s">
        <v>24</v>
      </c>
      <c r="F182" s="5">
        <v>59.5</v>
      </c>
      <c r="G182" s="5">
        <f>CPU!H236</f>
        <v>515.82880559</v>
      </c>
      <c r="H182" s="8">
        <f t="shared" si="17"/>
        <v>30691.813932605</v>
      </c>
    </row>
    <row r="183" spans="2:8" s="1" customFormat="1" ht="25.5" customHeight="1">
      <c r="B183" s="170" t="s">
        <v>2349</v>
      </c>
      <c r="C183" s="170" t="s">
        <v>1977</v>
      </c>
      <c r="D183" s="136" t="s">
        <v>1805</v>
      </c>
      <c r="E183" s="4" t="s">
        <v>24</v>
      </c>
      <c r="F183" s="5">
        <v>5.73</v>
      </c>
      <c r="G183" s="5">
        <f>CPU!H244</f>
        <v>1543.3194000000003</v>
      </c>
      <c r="H183" s="8">
        <f t="shared" si="17"/>
        <v>8843.2201620000033</v>
      </c>
    </row>
    <row r="184" spans="2:8" s="1" customFormat="1" ht="25.5" customHeight="1">
      <c r="B184" s="170" t="s">
        <v>2350</v>
      </c>
      <c r="C184" s="170" t="s">
        <v>1978</v>
      </c>
      <c r="D184" s="136" t="s">
        <v>357</v>
      </c>
      <c r="E184" s="4" t="s">
        <v>37</v>
      </c>
      <c r="F184" s="5" t="s">
        <v>358</v>
      </c>
      <c r="G184" s="5">
        <f>CPU!H254</f>
        <v>147.19342</v>
      </c>
      <c r="H184" s="8">
        <f t="shared" si="17"/>
        <v>441.58026000000001</v>
      </c>
    </row>
    <row r="185" spans="2:8" s="134" customFormat="1" ht="15" customHeight="1">
      <c r="B185" s="169" t="s">
        <v>359</v>
      </c>
      <c r="C185" s="169"/>
      <c r="D185" s="187" t="s">
        <v>360</v>
      </c>
      <c r="E185" s="187"/>
      <c r="F185" s="187"/>
      <c r="G185" s="187"/>
      <c r="H185" s="190" t="s">
        <v>1154</v>
      </c>
    </row>
    <row r="186" spans="2:8" s="1" customFormat="1" ht="63" customHeight="1">
      <c r="B186" s="170" t="s">
        <v>2351</v>
      </c>
      <c r="C186" s="170" t="s">
        <v>1980</v>
      </c>
      <c r="D186" s="85" t="s">
        <v>1810</v>
      </c>
      <c r="E186" s="4" t="s">
        <v>24</v>
      </c>
      <c r="F186" s="5">
        <v>205.89</v>
      </c>
      <c r="G186" s="5">
        <f>CPU!H274</f>
        <v>539.38373219999994</v>
      </c>
      <c r="H186" s="8">
        <f t="shared" si="17"/>
        <v>111053.71662265799</v>
      </c>
    </row>
    <row r="187" spans="2:8" s="134" customFormat="1" ht="15" customHeight="1">
      <c r="B187" s="169" t="s">
        <v>361</v>
      </c>
      <c r="C187" s="169"/>
      <c r="D187" s="187" t="s">
        <v>362</v>
      </c>
      <c r="E187" s="187"/>
      <c r="F187" s="187"/>
      <c r="G187" s="187"/>
      <c r="H187" s="190" t="s">
        <v>1154</v>
      </c>
    </row>
    <row r="188" spans="2:8" s="1" customFormat="1" ht="25.5">
      <c r="B188" s="170" t="s">
        <v>2352</v>
      </c>
      <c r="C188" s="170" t="s">
        <v>363</v>
      </c>
      <c r="D188" s="3" t="s">
        <v>364</v>
      </c>
      <c r="E188" s="4" t="s">
        <v>37</v>
      </c>
      <c r="F188" s="5" t="s">
        <v>38</v>
      </c>
      <c r="G188" s="5">
        <v>1355.23</v>
      </c>
      <c r="H188" s="8">
        <f t="shared" si="17"/>
        <v>1355.23</v>
      </c>
    </row>
    <row r="189" spans="2:8" s="134" customFormat="1" ht="15" customHeight="1">
      <c r="B189" s="169" t="s">
        <v>365</v>
      </c>
      <c r="C189" s="169"/>
      <c r="D189" s="187" t="s">
        <v>366</v>
      </c>
      <c r="E189" s="187"/>
      <c r="F189" s="187"/>
      <c r="G189" s="187"/>
      <c r="H189" s="190" t="s">
        <v>1154</v>
      </c>
    </row>
    <row r="190" spans="2:8" s="1" customFormat="1" ht="25.5" customHeight="1">
      <c r="B190" s="170" t="s">
        <v>2353</v>
      </c>
      <c r="C190" s="170" t="s">
        <v>1982</v>
      </c>
      <c r="D190" s="3" t="s">
        <v>1820</v>
      </c>
      <c r="E190" s="4" t="s">
        <v>37</v>
      </c>
      <c r="F190" s="5" t="s">
        <v>25</v>
      </c>
      <c r="G190" s="5">
        <f>CPU!H294</f>
        <v>5392.0221550600008</v>
      </c>
      <c r="H190" s="8">
        <f t="shared" ref="H190:H206" si="18">F190*G190</f>
        <v>145584.59818662002</v>
      </c>
    </row>
    <row r="191" spans="2:8" s="1" customFormat="1" ht="25.5">
      <c r="B191" s="170" t="s">
        <v>2354</v>
      </c>
      <c r="C191" s="170" t="s">
        <v>1983</v>
      </c>
      <c r="D191" s="3" t="s">
        <v>1821</v>
      </c>
      <c r="E191" s="4" t="s">
        <v>37</v>
      </c>
      <c r="F191" s="5" t="s">
        <v>367</v>
      </c>
      <c r="G191" s="5">
        <f>CPU!H315</f>
        <v>3229.5125372999996</v>
      </c>
      <c r="H191" s="8">
        <f t="shared" si="18"/>
        <v>6459.0250745999992</v>
      </c>
    </row>
    <row r="192" spans="2:8" s="1" customFormat="1" ht="25.5">
      <c r="B192" s="170" t="s">
        <v>2355</v>
      </c>
      <c r="C192" s="170" t="s">
        <v>1984</v>
      </c>
      <c r="D192" s="3" t="s">
        <v>1822</v>
      </c>
      <c r="E192" s="4" t="s">
        <v>37</v>
      </c>
      <c r="F192" s="5" t="s">
        <v>38</v>
      </c>
      <c r="G192" s="5">
        <f>CPU!H335</f>
        <v>3214.8619205999998</v>
      </c>
      <c r="H192" s="8">
        <f t="shared" si="18"/>
        <v>3214.8619205999998</v>
      </c>
    </row>
    <row r="193" spans="2:8" s="1" customFormat="1" ht="25.5">
      <c r="B193" s="170" t="s">
        <v>2356</v>
      </c>
      <c r="C193" s="170" t="s">
        <v>1985</v>
      </c>
      <c r="D193" s="3" t="s">
        <v>1823</v>
      </c>
      <c r="E193" s="4" t="s">
        <v>37</v>
      </c>
      <c r="F193" s="5" t="s">
        <v>367</v>
      </c>
      <c r="G193" s="5">
        <f>CPU!H355</f>
        <v>3977.3856715200004</v>
      </c>
      <c r="H193" s="8">
        <f t="shared" si="18"/>
        <v>7954.7713430400008</v>
      </c>
    </row>
    <row r="194" spans="2:8" s="1" customFormat="1" ht="25.5">
      <c r="B194" s="170" t="s">
        <v>1986</v>
      </c>
      <c r="C194" s="170" t="s">
        <v>2177</v>
      </c>
      <c r="D194" s="3" t="s">
        <v>1824</v>
      </c>
      <c r="E194" s="4" t="s">
        <v>37</v>
      </c>
      <c r="F194" s="5" t="s">
        <v>367</v>
      </c>
      <c r="G194" s="5">
        <f>CPU!H375</f>
        <v>3977.3856715200004</v>
      </c>
      <c r="H194" s="8">
        <f t="shared" si="18"/>
        <v>7954.7713430400008</v>
      </c>
    </row>
    <row r="195" spans="2:8" s="1" customFormat="1" ht="25.5">
      <c r="B195" s="170" t="s">
        <v>2357</v>
      </c>
      <c r="C195" s="170" t="s">
        <v>1987</v>
      </c>
      <c r="D195" s="3" t="s">
        <v>1825</v>
      </c>
      <c r="E195" s="4" t="s">
        <v>37</v>
      </c>
      <c r="F195" s="5">
        <v>1</v>
      </c>
      <c r="G195" s="5">
        <f>CPU!H393</f>
        <v>2465.6164744000002</v>
      </c>
      <c r="H195" s="8">
        <f t="shared" si="18"/>
        <v>2465.6164744000002</v>
      </c>
    </row>
    <row r="196" spans="2:8" s="1" customFormat="1" ht="25.5">
      <c r="B196" s="170" t="s">
        <v>2358</v>
      </c>
      <c r="C196" s="170" t="s">
        <v>1988</v>
      </c>
      <c r="D196" s="3" t="s">
        <v>1826</v>
      </c>
      <c r="E196" s="4" t="s">
        <v>37</v>
      </c>
      <c r="F196" s="5" t="s">
        <v>38</v>
      </c>
      <c r="G196" s="5">
        <f>CPU!H413</f>
        <v>2981.3203345000002</v>
      </c>
      <c r="H196" s="8">
        <f t="shared" si="18"/>
        <v>2981.3203345000002</v>
      </c>
    </row>
    <row r="197" spans="2:8" s="1" customFormat="1" ht="25.5">
      <c r="B197" s="170" t="s">
        <v>2359</v>
      </c>
      <c r="C197" s="170" t="s">
        <v>1989</v>
      </c>
      <c r="D197" s="3" t="s">
        <v>1827</v>
      </c>
      <c r="E197" s="4" t="s">
        <v>37</v>
      </c>
      <c r="F197" s="5">
        <v>2</v>
      </c>
      <c r="G197" s="5">
        <f>CPU!H431</f>
        <v>2464.65541605</v>
      </c>
      <c r="H197" s="8">
        <f t="shared" si="18"/>
        <v>4929.3108321</v>
      </c>
    </row>
    <row r="198" spans="2:8" s="1" customFormat="1" ht="25.5">
      <c r="B198" s="170" t="s">
        <v>2360</v>
      </c>
      <c r="C198" s="170" t="s">
        <v>1990</v>
      </c>
      <c r="D198" s="3" t="s">
        <v>368</v>
      </c>
      <c r="E198" s="4" t="s">
        <v>37</v>
      </c>
      <c r="F198" s="5" t="s">
        <v>25</v>
      </c>
      <c r="G198" s="5">
        <f>CPU!H451</f>
        <v>3370.4135479300003</v>
      </c>
      <c r="H198" s="8">
        <f t="shared" si="18"/>
        <v>91001.165794110013</v>
      </c>
    </row>
    <row r="199" spans="2:8" s="1" customFormat="1" ht="25.5">
      <c r="B199" s="170" t="s">
        <v>2361</v>
      </c>
      <c r="C199" s="170" t="s">
        <v>1991</v>
      </c>
      <c r="D199" s="3" t="s">
        <v>369</v>
      </c>
      <c r="E199" s="4" t="s">
        <v>37</v>
      </c>
      <c r="F199" s="5" t="s">
        <v>358</v>
      </c>
      <c r="G199" s="5">
        <f>CPU!H470</f>
        <v>3116.9042589229439</v>
      </c>
      <c r="H199" s="8">
        <f t="shared" si="18"/>
        <v>9350.7127767688326</v>
      </c>
    </row>
    <row r="200" spans="2:8" s="1" customFormat="1" ht="25.5">
      <c r="B200" s="170" t="s">
        <v>2362</v>
      </c>
      <c r="C200" s="170" t="s">
        <v>1992</v>
      </c>
      <c r="D200" s="3" t="s">
        <v>370</v>
      </c>
      <c r="E200" s="4" t="s">
        <v>37</v>
      </c>
      <c r="F200" s="5" t="s">
        <v>38</v>
      </c>
      <c r="G200" s="5">
        <f>CPU!H488</f>
        <v>10734.0410642031</v>
      </c>
      <c r="H200" s="8">
        <f t="shared" si="18"/>
        <v>10734.0410642031</v>
      </c>
    </row>
    <row r="201" spans="2:8" s="1" customFormat="1" ht="25.5">
      <c r="B201" s="170" t="s">
        <v>2363</v>
      </c>
      <c r="C201" s="170" t="s">
        <v>2178</v>
      </c>
      <c r="D201" s="3" t="s">
        <v>371</v>
      </c>
      <c r="E201" s="4" t="s">
        <v>37</v>
      </c>
      <c r="F201" s="5" t="s">
        <v>367</v>
      </c>
      <c r="G201" s="5">
        <f>CPU!H507</f>
        <v>1844.3138275100155</v>
      </c>
      <c r="H201" s="8">
        <f t="shared" si="18"/>
        <v>3688.6276550200309</v>
      </c>
    </row>
    <row r="202" spans="2:8" s="1" customFormat="1" ht="38.25">
      <c r="B202" s="170" t="s">
        <v>2364</v>
      </c>
      <c r="C202" s="170" t="s">
        <v>1994</v>
      </c>
      <c r="D202" s="3" t="s">
        <v>372</v>
      </c>
      <c r="E202" s="4" t="s">
        <v>37</v>
      </c>
      <c r="F202" s="5" t="s">
        <v>38</v>
      </c>
      <c r="G202" s="5">
        <f>CPU!H530</f>
        <v>12197.750167549924</v>
      </c>
      <c r="H202" s="8">
        <f t="shared" si="18"/>
        <v>12197.750167549924</v>
      </c>
    </row>
    <row r="203" spans="2:8" s="1" customFormat="1" ht="25.5">
      <c r="B203" s="170" t="s">
        <v>2365</v>
      </c>
      <c r="C203" s="170" t="s">
        <v>1995</v>
      </c>
      <c r="D203" s="3" t="s">
        <v>373</v>
      </c>
      <c r="E203" s="4" t="s">
        <v>37</v>
      </c>
      <c r="F203" s="5">
        <v>1</v>
      </c>
      <c r="G203" s="5">
        <f>CPU!H550</f>
        <v>2679.6932854989259</v>
      </c>
      <c r="H203" s="8">
        <f t="shared" si="18"/>
        <v>2679.6932854989259</v>
      </c>
    </row>
    <row r="204" spans="2:8" s="1" customFormat="1" ht="25.5">
      <c r="B204" s="170" t="s">
        <v>2366</v>
      </c>
      <c r="C204" s="170" t="s">
        <v>1996</v>
      </c>
      <c r="D204" s="3" t="s">
        <v>374</v>
      </c>
      <c r="E204" s="4" t="s">
        <v>37</v>
      </c>
      <c r="F204" s="5">
        <v>3</v>
      </c>
      <c r="G204" s="5">
        <f>CPU!H570</f>
        <v>1066.7868475042089</v>
      </c>
      <c r="H204" s="8">
        <f t="shared" si="18"/>
        <v>3200.360542512627</v>
      </c>
    </row>
    <row r="205" spans="2:8" s="1" customFormat="1" ht="25.5">
      <c r="B205" s="170" t="s">
        <v>2367</v>
      </c>
      <c r="C205" s="170" t="s">
        <v>1997</v>
      </c>
      <c r="D205" s="3" t="s">
        <v>375</v>
      </c>
      <c r="E205" s="4" t="s">
        <v>37</v>
      </c>
      <c r="F205" s="5">
        <v>2</v>
      </c>
      <c r="G205" s="5">
        <f>CPU!H590</f>
        <v>2654.9278184867526</v>
      </c>
      <c r="H205" s="8">
        <f t="shared" si="18"/>
        <v>5309.8556369735052</v>
      </c>
    </row>
    <row r="206" spans="2:8" s="1" customFormat="1" ht="25.5">
      <c r="B206" s="170" t="s">
        <v>2368</v>
      </c>
      <c r="C206" s="170" t="s">
        <v>1998</v>
      </c>
      <c r="D206" s="3" t="s">
        <v>376</v>
      </c>
      <c r="E206" s="4" t="s">
        <v>37</v>
      </c>
      <c r="F206" s="5" t="s">
        <v>38</v>
      </c>
      <c r="G206" s="5">
        <f>CPU!H610</f>
        <v>2279.1257791605722</v>
      </c>
      <c r="H206" s="8">
        <f t="shared" si="18"/>
        <v>2279.1257791605722</v>
      </c>
    </row>
    <row r="207" spans="2:8" s="134" customFormat="1" ht="15" customHeight="1">
      <c r="B207" s="169" t="s">
        <v>377</v>
      </c>
      <c r="C207" s="169"/>
      <c r="D207" s="187" t="s">
        <v>378</v>
      </c>
      <c r="E207" s="187"/>
      <c r="F207" s="187"/>
      <c r="G207" s="187"/>
      <c r="H207" s="190" t="s">
        <v>1154</v>
      </c>
    </row>
    <row r="208" spans="2:8" s="1" customFormat="1" ht="25.5" customHeight="1">
      <c r="B208" s="170" t="s">
        <v>2369</v>
      </c>
      <c r="C208" s="170" t="s">
        <v>1999</v>
      </c>
      <c r="D208" s="136" t="s">
        <v>379</v>
      </c>
      <c r="E208" s="4" t="s">
        <v>24</v>
      </c>
      <c r="F208" s="5">
        <v>34.97</v>
      </c>
      <c r="G208" s="5">
        <f>CPU!H615</f>
        <v>291.31200000000001</v>
      </c>
      <c r="H208" s="8">
        <f t="shared" ref="H208:H213" si="19">F208*G208</f>
        <v>10187.18064</v>
      </c>
    </row>
    <row r="209" spans="2:8" s="1" customFormat="1" ht="25.5" customHeight="1">
      <c r="B209" s="170" t="s">
        <v>2370</v>
      </c>
      <c r="C209" s="170" t="s">
        <v>2000</v>
      </c>
      <c r="D209" s="136" t="s">
        <v>380</v>
      </c>
      <c r="E209" s="4" t="s">
        <v>24</v>
      </c>
      <c r="F209" s="5" t="s">
        <v>381</v>
      </c>
      <c r="G209" s="5">
        <f>CPU!H624</f>
        <v>265.96449526355212</v>
      </c>
      <c r="H209" s="8">
        <f t="shared" si="19"/>
        <v>41251.093215376932</v>
      </c>
    </row>
    <row r="210" spans="2:8" s="1" customFormat="1" ht="25.5" customHeight="1">
      <c r="B210" s="170" t="s">
        <v>2371</v>
      </c>
      <c r="C210" s="170" t="s">
        <v>2001</v>
      </c>
      <c r="D210" s="136" t="s">
        <v>382</v>
      </c>
      <c r="E210" s="4" t="s">
        <v>24</v>
      </c>
      <c r="F210" s="5" t="s">
        <v>383</v>
      </c>
      <c r="G210" s="5">
        <f>CPU!H631</f>
        <v>191.94119926026539</v>
      </c>
      <c r="H210" s="8">
        <f t="shared" si="19"/>
        <v>14194.051685296627</v>
      </c>
    </row>
    <row r="211" spans="2:8" s="1" customFormat="1" ht="25.5">
      <c r="B211" s="170" t="s">
        <v>2372</v>
      </c>
      <c r="C211" s="170" t="s">
        <v>384</v>
      </c>
      <c r="D211" s="3" t="s">
        <v>385</v>
      </c>
      <c r="E211" s="4" t="s">
        <v>15</v>
      </c>
      <c r="F211" s="5">
        <v>473.03</v>
      </c>
      <c r="G211" s="432">
        <f>454.96*1.2173</f>
        <v>553.82280800000001</v>
      </c>
      <c r="H211" s="8">
        <f t="shared" si="19"/>
        <v>261974.80286823999</v>
      </c>
    </row>
    <row r="212" spans="2:8" s="1" customFormat="1" ht="25.5">
      <c r="B212" s="170" t="s">
        <v>2373</v>
      </c>
      <c r="C212" s="170" t="s">
        <v>2002</v>
      </c>
      <c r="D212" s="3" t="s">
        <v>386</v>
      </c>
      <c r="E212" s="4" t="s">
        <v>15</v>
      </c>
      <c r="F212" s="5">
        <v>7</v>
      </c>
      <c r="G212" s="5">
        <f>CPU!H638</f>
        <v>411.23690017187005</v>
      </c>
      <c r="H212" s="8">
        <f t="shared" si="19"/>
        <v>2878.6583012030906</v>
      </c>
    </row>
    <row r="213" spans="2:8" s="1" customFormat="1" ht="63.75">
      <c r="B213" s="170" t="s">
        <v>2374</v>
      </c>
      <c r="C213" s="170" t="s">
        <v>387</v>
      </c>
      <c r="D213" s="3" t="s">
        <v>388</v>
      </c>
      <c r="E213" s="4" t="s">
        <v>15</v>
      </c>
      <c r="F213" s="5">
        <v>553.83000000000004</v>
      </c>
      <c r="G213" s="5">
        <v>634.02</v>
      </c>
      <c r="H213" s="8">
        <f t="shared" si="19"/>
        <v>351139.2966</v>
      </c>
    </row>
    <row r="214" spans="2:8" s="134" customFormat="1" ht="15" customHeight="1">
      <c r="B214" s="169" t="s">
        <v>389</v>
      </c>
      <c r="C214" s="169"/>
      <c r="D214" s="187" t="s">
        <v>390</v>
      </c>
      <c r="E214" s="187"/>
      <c r="F214" s="187"/>
      <c r="G214" s="187"/>
      <c r="H214" s="190" t="s">
        <v>1154</v>
      </c>
    </row>
    <row r="215" spans="2:8" s="1" customFormat="1" ht="64.5" customHeight="1">
      <c r="B215" s="175" t="s">
        <v>2375</v>
      </c>
      <c r="C215" s="170" t="s">
        <v>2003</v>
      </c>
      <c r="D215" s="7" t="s">
        <v>1828</v>
      </c>
      <c r="E215" s="4" t="s">
        <v>24</v>
      </c>
      <c r="F215" s="5">
        <v>586.95000000000005</v>
      </c>
      <c r="G215" s="5">
        <f>CPU!H650</f>
        <v>371.06460000000004</v>
      </c>
      <c r="H215" s="8">
        <f t="shared" ref="H215:H222" si="20">F215*G215</f>
        <v>217796.36697000003</v>
      </c>
    </row>
    <row r="216" spans="2:8" s="1" customFormat="1" ht="63.75">
      <c r="B216" s="175" t="s">
        <v>2376</v>
      </c>
      <c r="C216" s="170" t="s">
        <v>2006</v>
      </c>
      <c r="D216" s="7" t="s">
        <v>1829</v>
      </c>
      <c r="E216" s="4" t="s">
        <v>24</v>
      </c>
      <c r="F216" s="5">
        <v>193.78</v>
      </c>
      <c r="G216" s="5">
        <f>CPU!H664</f>
        <v>336.78306123200002</v>
      </c>
      <c r="H216" s="8">
        <f t="shared" si="20"/>
        <v>65261.821605536963</v>
      </c>
    </row>
    <row r="217" spans="2:8" s="1" customFormat="1" ht="15" customHeight="1">
      <c r="B217" s="170"/>
      <c r="C217" s="7"/>
      <c r="D217" s="193" t="s">
        <v>1168</v>
      </c>
      <c r="E217" s="194"/>
      <c r="F217" s="195"/>
      <c r="G217" s="195"/>
      <c r="H217" s="196">
        <f>SUM(H181:H216)</f>
        <v>1528027.5153457499</v>
      </c>
    </row>
    <row r="218" spans="2:8" s="134" customFormat="1" ht="15" customHeight="1">
      <c r="B218" s="169" t="s">
        <v>391</v>
      </c>
      <c r="C218" s="169"/>
      <c r="D218" s="187" t="s">
        <v>392</v>
      </c>
      <c r="E218" s="187"/>
      <c r="F218" s="187"/>
      <c r="G218" s="187"/>
      <c r="H218" s="190" t="s">
        <v>1154</v>
      </c>
    </row>
    <row r="219" spans="2:8" s="134" customFormat="1" ht="15" customHeight="1">
      <c r="B219" s="169" t="s">
        <v>393</v>
      </c>
      <c r="C219" s="169"/>
      <c r="D219" s="187" t="s">
        <v>394</v>
      </c>
      <c r="E219" s="187"/>
      <c r="F219" s="187"/>
      <c r="G219" s="187"/>
      <c r="H219" s="190" t="s">
        <v>1154</v>
      </c>
    </row>
    <row r="220" spans="2:8" s="1" customFormat="1" ht="25.5" customHeight="1">
      <c r="B220" s="175" t="s">
        <v>2377</v>
      </c>
      <c r="C220" s="170" t="s">
        <v>2007</v>
      </c>
      <c r="D220" s="136" t="s">
        <v>396</v>
      </c>
      <c r="E220" s="4" t="s">
        <v>24</v>
      </c>
      <c r="F220" s="5" t="s">
        <v>397</v>
      </c>
      <c r="G220" s="5">
        <f>CPU!H668</f>
        <v>208.31391963200002</v>
      </c>
      <c r="H220" s="8">
        <f t="shared" si="20"/>
        <v>47553.901573592964</v>
      </c>
    </row>
    <row r="221" spans="2:8" s="1" customFormat="1" ht="25.5" customHeight="1">
      <c r="B221" s="175" t="s">
        <v>2378</v>
      </c>
      <c r="C221" s="170" t="s">
        <v>2008</v>
      </c>
      <c r="D221" s="136" t="s">
        <v>398</v>
      </c>
      <c r="E221" s="4" t="s">
        <v>24</v>
      </c>
      <c r="F221" s="5" t="s">
        <v>399</v>
      </c>
      <c r="G221" s="5">
        <f>CPU!H672</f>
        <v>235.42309324799999</v>
      </c>
      <c r="H221" s="8">
        <f t="shared" si="20"/>
        <v>75295.367913507827</v>
      </c>
    </row>
    <row r="222" spans="2:8" s="1" customFormat="1" ht="39" customHeight="1">
      <c r="B222" s="175" t="s">
        <v>2379</v>
      </c>
      <c r="C222" s="170" t="s">
        <v>2179</v>
      </c>
      <c r="D222" s="3" t="s">
        <v>400</v>
      </c>
      <c r="E222" s="4" t="s">
        <v>24</v>
      </c>
      <c r="F222" s="5" t="s">
        <v>402</v>
      </c>
      <c r="G222" s="5">
        <f>CPU!H676</f>
        <v>1782.3097950000001</v>
      </c>
      <c r="H222" s="8">
        <f t="shared" si="20"/>
        <v>86620.256037000014</v>
      </c>
    </row>
    <row r="223" spans="2:8" s="1" customFormat="1" ht="15" customHeight="1">
      <c r="B223" s="175"/>
      <c r="C223" s="170"/>
      <c r="D223" s="6" t="s">
        <v>1169</v>
      </c>
      <c r="E223" s="4"/>
      <c r="F223" s="5"/>
      <c r="G223" s="5"/>
      <c r="H223" s="8">
        <f>SUM(H220:H222)</f>
        <v>209469.52552410081</v>
      </c>
    </row>
    <row r="224" spans="2:8" s="134" customFormat="1" ht="15" customHeight="1">
      <c r="B224" s="169" t="s">
        <v>403</v>
      </c>
      <c r="C224" s="169"/>
      <c r="D224" s="187" t="s">
        <v>404</v>
      </c>
      <c r="E224" s="187"/>
      <c r="F224" s="187"/>
      <c r="G224" s="187"/>
      <c r="H224" s="190" t="s">
        <v>1154</v>
      </c>
    </row>
    <row r="225" spans="2:8" s="134" customFormat="1" ht="15" customHeight="1">
      <c r="B225" s="169" t="s">
        <v>405</v>
      </c>
      <c r="C225" s="169"/>
      <c r="D225" s="187" t="s">
        <v>406</v>
      </c>
      <c r="E225" s="187"/>
      <c r="F225" s="187"/>
      <c r="G225" s="187"/>
      <c r="H225" s="190" t="s">
        <v>1154</v>
      </c>
    </row>
    <row r="226" spans="2:8" s="1" customFormat="1" ht="38.25">
      <c r="B226" s="175" t="s">
        <v>2380</v>
      </c>
      <c r="C226" s="170" t="s">
        <v>2180</v>
      </c>
      <c r="D226" s="3" t="s">
        <v>407</v>
      </c>
      <c r="E226" s="4" t="s">
        <v>24</v>
      </c>
      <c r="F226" s="5" t="s">
        <v>408</v>
      </c>
      <c r="G226" s="5">
        <f>CPU!H683</f>
        <v>172.69499999999999</v>
      </c>
      <c r="H226" s="8">
        <f t="shared" ref="H226:H234" si="21">F226*G226</f>
        <v>105601.26555</v>
      </c>
    </row>
    <row r="227" spans="2:8" s="1" customFormat="1" ht="38.25">
      <c r="B227" s="175" t="s">
        <v>2381</v>
      </c>
      <c r="C227" s="170" t="s">
        <v>2181</v>
      </c>
      <c r="D227" s="3" t="s">
        <v>409</v>
      </c>
      <c r="E227" s="4" t="s">
        <v>24</v>
      </c>
      <c r="F227" s="5" t="s">
        <v>410</v>
      </c>
      <c r="G227" s="5">
        <f>CPU!H690</f>
        <v>216.01499999999999</v>
      </c>
      <c r="H227" s="8">
        <f t="shared" si="21"/>
        <v>190795.24875</v>
      </c>
    </row>
    <row r="228" spans="2:8" s="1" customFormat="1" ht="38.25">
      <c r="B228" s="175" t="s">
        <v>2382</v>
      </c>
      <c r="C228" s="170" t="s">
        <v>2182</v>
      </c>
      <c r="D228" s="3" t="s">
        <v>411</v>
      </c>
      <c r="E228" s="4" t="s">
        <v>24</v>
      </c>
      <c r="F228" s="5" t="s">
        <v>397</v>
      </c>
      <c r="G228" s="5">
        <f>CPU!H697</f>
        <v>271.23499999999996</v>
      </c>
      <c r="H228" s="8">
        <f t="shared" si="21"/>
        <v>61917.525799999989</v>
      </c>
    </row>
    <row r="229" spans="2:8" s="134" customFormat="1" ht="15" customHeight="1">
      <c r="B229" s="169" t="s">
        <v>412</v>
      </c>
      <c r="C229" s="169"/>
      <c r="D229" s="187" t="s">
        <v>413</v>
      </c>
      <c r="E229" s="187"/>
      <c r="F229" s="187"/>
      <c r="G229" s="187"/>
      <c r="H229" s="190" t="s">
        <v>1154</v>
      </c>
    </row>
    <row r="230" spans="2:8" s="1" customFormat="1" ht="27.75" customHeight="1">
      <c r="B230" s="175" t="s">
        <v>2383</v>
      </c>
      <c r="C230" s="170" t="s">
        <v>2014</v>
      </c>
      <c r="D230" s="3" t="s">
        <v>414</v>
      </c>
      <c r="E230" s="4" t="s">
        <v>24</v>
      </c>
      <c r="F230" s="5" t="s">
        <v>415</v>
      </c>
      <c r="G230" s="5">
        <f>CPU!H706</f>
        <v>474.60979869270011</v>
      </c>
      <c r="H230" s="8">
        <f t="shared" si="21"/>
        <v>24973.967607209877</v>
      </c>
    </row>
    <row r="231" spans="2:8" s="1" customFormat="1" ht="15" customHeight="1">
      <c r="B231" s="175"/>
      <c r="C231" s="170"/>
      <c r="D231" s="6" t="s">
        <v>1170</v>
      </c>
      <c r="E231" s="4"/>
      <c r="F231" s="5"/>
      <c r="G231" s="5"/>
      <c r="H231" s="8">
        <f>SUM(H226:H230)</f>
        <v>383288.00770720985</v>
      </c>
    </row>
    <row r="232" spans="2:8" s="134" customFormat="1" ht="15" customHeight="1">
      <c r="B232" s="169" t="s">
        <v>416</v>
      </c>
      <c r="C232" s="169"/>
      <c r="D232" s="187" t="s">
        <v>417</v>
      </c>
      <c r="E232" s="187"/>
      <c r="F232" s="187"/>
      <c r="G232" s="187"/>
      <c r="H232" s="190" t="s">
        <v>1154</v>
      </c>
    </row>
    <row r="233" spans="2:8" s="134" customFormat="1" ht="15" customHeight="1">
      <c r="B233" s="169" t="s">
        <v>418</v>
      </c>
      <c r="C233" s="169"/>
      <c r="D233" s="187" t="s">
        <v>419</v>
      </c>
      <c r="E233" s="187"/>
      <c r="F233" s="187"/>
      <c r="G233" s="187"/>
      <c r="H233" s="190" t="s">
        <v>1154</v>
      </c>
    </row>
    <row r="234" spans="2:8" s="1" customFormat="1" ht="27" customHeight="1">
      <c r="B234" s="175" t="s">
        <v>2384</v>
      </c>
      <c r="C234" s="170" t="s">
        <v>1223</v>
      </c>
      <c r="D234" s="85" t="s">
        <v>1224</v>
      </c>
      <c r="E234" s="4" t="s">
        <v>24</v>
      </c>
      <c r="F234" s="5" t="s">
        <v>420</v>
      </c>
      <c r="G234" s="5">
        <v>83.79</v>
      </c>
      <c r="H234" s="8">
        <f t="shared" si="21"/>
        <v>68246.955000000002</v>
      </c>
    </row>
    <row r="235" spans="2:8" s="134" customFormat="1" ht="15" customHeight="1">
      <c r="B235" s="169" t="s">
        <v>1833</v>
      </c>
      <c r="C235" s="169"/>
      <c r="D235" s="187" t="s">
        <v>1834</v>
      </c>
      <c r="E235" s="187"/>
      <c r="F235" s="187"/>
      <c r="G235" s="187"/>
      <c r="H235" s="190" t="s">
        <v>1154</v>
      </c>
    </row>
    <row r="236" spans="2:8" s="1" customFormat="1" ht="25.5" customHeight="1">
      <c r="B236" s="175" t="s">
        <v>2385</v>
      </c>
      <c r="C236" s="170" t="s">
        <v>2015</v>
      </c>
      <c r="D236" s="136" t="s">
        <v>1835</v>
      </c>
      <c r="E236" s="4" t="s">
        <v>24</v>
      </c>
      <c r="F236" s="5" t="s">
        <v>1836</v>
      </c>
      <c r="G236" s="5">
        <f>CPU!H712</f>
        <v>386.22500000000002</v>
      </c>
      <c r="H236" s="8">
        <f t="shared" ref="H236" si="22">F236*G236</f>
        <v>103315.1875</v>
      </c>
    </row>
    <row r="237" spans="2:8" s="1" customFormat="1" ht="15" customHeight="1">
      <c r="B237" s="175"/>
      <c r="C237" s="7"/>
      <c r="D237" s="193" t="s">
        <v>1171</v>
      </c>
      <c r="E237" s="194"/>
      <c r="F237" s="195"/>
      <c r="G237" s="195"/>
      <c r="H237" s="196">
        <f>SUM(H234:H236)</f>
        <v>171562.14250000002</v>
      </c>
    </row>
    <row r="238" spans="2:8" s="134" customFormat="1" ht="15" customHeight="1">
      <c r="B238" s="169" t="s">
        <v>421</v>
      </c>
      <c r="C238" s="169"/>
      <c r="D238" s="187" t="s">
        <v>422</v>
      </c>
      <c r="E238" s="187"/>
      <c r="F238" s="187"/>
      <c r="G238" s="187"/>
      <c r="H238" s="190" t="s">
        <v>1154</v>
      </c>
    </row>
    <row r="239" spans="2:8" s="134" customFormat="1" ht="15" customHeight="1">
      <c r="B239" s="169" t="s">
        <v>423</v>
      </c>
      <c r="C239" s="169"/>
      <c r="D239" s="187" t="s">
        <v>424</v>
      </c>
      <c r="E239" s="187"/>
      <c r="F239" s="187"/>
      <c r="G239" s="187"/>
      <c r="H239" s="190" t="s">
        <v>1154</v>
      </c>
    </row>
    <row r="240" spans="2:8" s="1" customFormat="1" ht="38.25">
      <c r="B240" s="175" t="s">
        <v>2386</v>
      </c>
      <c r="C240" s="177" t="s">
        <v>2016</v>
      </c>
      <c r="D240" s="3" t="s">
        <v>425</v>
      </c>
      <c r="E240" s="4" t="s">
        <v>24</v>
      </c>
      <c r="F240" s="5">
        <v>7370.29</v>
      </c>
      <c r="G240" s="5">
        <f>CPU!H720</f>
        <v>158.9248</v>
      </c>
      <c r="H240" s="8">
        <f t="shared" ref="H240:H242" si="23">F240*G240</f>
        <v>1171321.8641920001</v>
      </c>
    </row>
    <row r="241" spans="2:8" s="1" customFormat="1" ht="51">
      <c r="B241" s="175" t="s">
        <v>2387</v>
      </c>
      <c r="C241" s="177" t="s">
        <v>426</v>
      </c>
      <c r="D241" s="3" t="s">
        <v>427</v>
      </c>
      <c r="E241" s="4" t="s">
        <v>24</v>
      </c>
      <c r="F241" s="5">
        <v>7370.29</v>
      </c>
      <c r="G241" s="5">
        <v>41.93</v>
      </c>
      <c r="H241" s="8">
        <f t="shared" si="23"/>
        <v>309036.2597</v>
      </c>
    </row>
    <row r="242" spans="2:8" s="1" customFormat="1" ht="25.5">
      <c r="B242" s="175" t="s">
        <v>2388</v>
      </c>
      <c r="C242" s="199" t="s">
        <v>2209</v>
      </c>
      <c r="D242" s="85" t="s">
        <v>2210</v>
      </c>
      <c r="E242" s="96" t="s">
        <v>24</v>
      </c>
      <c r="F242" s="5">
        <v>420</v>
      </c>
      <c r="G242" s="5">
        <v>82.19</v>
      </c>
      <c r="H242" s="8">
        <f t="shared" si="23"/>
        <v>34519.799999999996</v>
      </c>
    </row>
    <row r="243" spans="2:8" s="134" customFormat="1" ht="15" customHeight="1">
      <c r="B243" s="175"/>
      <c r="C243" s="177"/>
      <c r="D243" s="193" t="s">
        <v>1172</v>
      </c>
      <c r="E243" s="194"/>
      <c r="F243" s="195"/>
      <c r="G243" s="195"/>
      <c r="H243" s="196">
        <f>SUM(H240:H242)</f>
        <v>1514877.9238920002</v>
      </c>
    </row>
    <row r="244" spans="2:8" s="134" customFormat="1" ht="15" customHeight="1">
      <c r="B244" s="169" t="s">
        <v>428</v>
      </c>
      <c r="C244" s="169"/>
      <c r="D244" s="187" t="s">
        <v>429</v>
      </c>
      <c r="E244" s="187"/>
      <c r="F244" s="187"/>
      <c r="G244" s="187"/>
      <c r="H244" s="190" t="s">
        <v>1154</v>
      </c>
    </row>
    <row r="245" spans="2:8" s="1" customFormat="1" ht="38.25">
      <c r="B245" s="175" t="s">
        <v>2389</v>
      </c>
      <c r="C245" s="177" t="s">
        <v>2017</v>
      </c>
      <c r="D245" s="3" t="s">
        <v>430</v>
      </c>
      <c r="E245" s="4" t="s">
        <v>24</v>
      </c>
      <c r="F245" s="5">
        <v>1968.84</v>
      </c>
      <c r="G245" s="5">
        <f>CPU!H728</f>
        <v>88.797525573251733</v>
      </c>
      <c r="H245" s="8">
        <f t="shared" ref="H245:H250" si="24">F245*G245</f>
        <v>174828.12024964092</v>
      </c>
    </row>
    <row r="246" spans="2:8" s="1" customFormat="1" ht="76.5">
      <c r="B246" s="175" t="s">
        <v>2390</v>
      </c>
      <c r="C246" s="177" t="s">
        <v>431</v>
      </c>
      <c r="D246" s="3" t="s">
        <v>432</v>
      </c>
      <c r="E246" s="4" t="s">
        <v>24</v>
      </c>
      <c r="F246" s="5">
        <v>3751.87</v>
      </c>
      <c r="G246" s="5">
        <v>39.51</v>
      </c>
      <c r="H246" s="8">
        <f t="shared" si="24"/>
        <v>148236.38369999998</v>
      </c>
    </row>
    <row r="247" spans="2:8" s="1" customFormat="1" ht="51.75" customHeight="1">
      <c r="B247" s="175" t="s">
        <v>2391</v>
      </c>
      <c r="C247" s="177" t="s">
        <v>433</v>
      </c>
      <c r="D247" s="3" t="s">
        <v>434</v>
      </c>
      <c r="E247" s="4" t="s">
        <v>24</v>
      </c>
      <c r="F247" s="5" t="s">
        <v>435</v>
      </c>
      <c r="G247" s="432">
        <f>4.98*1.2173</f>
        <v>6.0621540000000005</v>
      </c>
      <c r="H247" s="8">
        <f t="shared" si="24"/>
        <v>9315.1058364</v>
      </c>
    </row>
    <row r="248" spans="2:8" s="1" customFormat="1" ht="51">
      <c r="B248" s="175" t="s">
        <v>2392</v>
      </c>
      <c r="C248" s="177" t="s">
        <v>436</v>
      </c>
      <c r="D248" s="3" t="s">
        <v>437</v>
      </c>
      <c r="E248" s="4" t="s">
        <v>24</v>
      </c>
      <c r="F248" s="5">
        <v>4730.96</v>
      </c>
      <c r="G248" s="5">
        <v>4.37</v>
      </c>
      <c r="H248" s="8">
        <f t="shared" si="24"/>
        <v>20674.2952</v>
      </c>
    </row>
    <row r="249" spans="2:8" s="1" customFormat="1" ht="27" customHeight="1">
      <c r="B249" s="175" t="s">
        <v>2393</v>
      </c>
      <c r="C249" s="199" t="s">
        <v>1221</v>
      </c>
      <c r="D249" s="85" t="s">
        <v>1222</v>
      </c>
      <c r="E249" s="4" t="s">
        <v>24</v>
      </c>
      <c r="F249" s="5">
        <v>1053.45</v>
      </c>
      <c r="G249" s="5">
        <v>62.57</v>
      </c>
      <c r="H249" s="8">
        <f t="shared" si="24"/>
        <v>65914.366500000004</v>
      </c>
    </row>
    <row r="250" spans="2:8" s="1" customFormat="1" ht="63.75">
      <c r="B250" s="175" t="s">
        <v>2394</v>
      </c>
      <c r="C250" s="177" t="s">
        <v>438</v>
      </c>
      <c r="D250" s="3" t="s">
        <v>439</v>
      </c>
      <c r="E250" s="4" t="s">
        <v>24</v>
      </c>
      <c r="F250" s="5">
        <v>2515.69</v>
      </c>
      <c r="G250" s="5">
        <v>41.59</v>
      </c>
      <c r="H250" s="8">
        <f t="shared" si="24"/>
        <v>104627.54710000001</v>
      </c>
    </row>
    <row r="251" spans="2:8" s="134" customFormat="1" ht="15" customHeight="1">
      <c r="B251" s="202"/>
      <c r="C251" s="138"/>
      <c r="D251" s="193" t="s">
        <v>1173</v>
      </c>
      <c r="E251" s="194"/>
      <c r="F251" s="195"/>
      <c r="G251" s="195"/>
      <c r="H251" s="196">
        <f>SUM(H245:H250)</f>
        <v>523595.81858604093</v>
      </c>
    </row>
    <row r="252" spans="2:8" s="1" customFormat="1" ht="15" customHeight="1">
      <c r="B252" s="169" t="s">
        <v>441</v>
      </c>
      <c r="C252" s="169"/>
      <c r="D252" s="200" t="s">
        <v>442</v>
      </c>
      <c r="E252" s="200"/>
      <c r="F252" s="200"/>
      <c r="G252" s="200"/>
      <c r="H252" s="201" t="s">
        <v>1154</v>
      </c>
    </row>
    <row r="253" spans="2:8" s="1" customFormat="1" ht="25.5">
      <c r="B253" s="175" t="s">
        <v>2395</v>
      </c>
      <c r="C253" s="170" t="s">
        <v>443</v>
      </c>
      <c r="D253" s="3" t="s">
        <v>444</v>
      </c>
      <c r="E253" s="4" t="s">
        <v>24</v>
      </c>
      <c r="F253" s="5" t="s">
        <v>445</v>
      </c>
      <c r="G253" s="5">
        <v>67.290000000000006</v>
      </c>
      <c r="H253" s="8">
        <f t="shared" ref="H253:H282" si="25">F253*G253</f>
        <v>180230.88180000003</v>
      </c>
    </row>
    <row r="254" spans="2:8" s="1" customFormat="1" ht="25.5">
      <c r="B254" s="175" t="s">
        <v>2396</v>
      </c>
      <c r="C254" s="170" t="s">
        <v>446</v>
      </c>
      <c r="D254" s="3" t="s">
        <v>447</v>
      </c>
      <c r="E254" s="4" t="s">
        <v>15</v>
      </c>
      <c r="F254" s="5" t="s">
        <v>448</v>
      </c>
      <c r="G254" s="5">
        <v>11.58</v>
      </c>
      <c r="H254" s="8">
        <f t="shared" si="25"/>
        <v>13957.374</v>
      </c>
    </row>
    <row r="255" spans="2:8" s="134" customFormat="1" ht="15" customHeight="1">
      <c r="B255" s="175"/>
      <c r="C255" s="170"/>
      <c r="D255" s="193" t="s">
        <v>1174</v>
      </c>
      <c r="E255" s="194"/>
      <c r="F255" s="195"/>
      <c r="G255" s="195"/>
      <c r="H255" s="196">
        <f>SUM(H253:H254)</f>
        <v>194188.25580000004</v>
      </c>
    </row>
    <row r="256" spans="2:8" s="1" customFormat="1" ht="15" customHeight="1">
      <c r="B256" s="169" t="s">
        <v>449</v>
      </c>
      <c r="C256" s="169"/>
      <c r="D256" s="200" t="s">
        <v>450</v>
      </c>
      <c r="E256" s="200"/>
      <c r="F256" s="200"/>
      <c r="G256" s="200"/>
      <c r="H256" s="201" t="s">
        <v>1154</v>
      </c>
    </row>
    <row r="257" spans="2:8" s="1" customFormat="1" ht="25.5">
      <c r="B257" s="175" t="s">
        <v>2397</v>
      </c>
      <c r="C257" s="170" t="s">
        <v>2018</v>
      </c>
      <c r="D257" s="3" t="s">
        <v>451</v>
      </c>
      <c r="E257" s="4" t="s">
        <v>24</v>
      </c>
      <c r="F257" s="5">
        <v>5164.4799999999996</v>
      </c>
      <c r="G257" s="5">
        <f>CPU!H734</f>
        <v>22.478990600000003</v>
      </c>
      <c r="H257" s="8">
        <f t="shared" si="25"/>
        <v>116092.29737388801</v>
      </c>
    </row>
    <row r="258" spans="2:8" s="1" customFormat="1" ht="25.5">
      <c r="B258" s="175" t="s">
        <v>2398</v>
      </c>
      <c r="C258" s="170" t="s">
        <v>2183</v>
      </c>
      <c r="D258" s="3" t="s">
        <v>452</v>
      </c>
      <c r="E258" s="4" t="s">
        <v>24</v>
      </c>
      <c r="F258" s="5" t="s">
        <v>453</v>
      </c>
      <c r="G258" s="5">
        <f>CPU!H741</f>
        <v>42.093240000000002</v>
      </c>
      <c r="H258" s="8">
        <f t="shared" si="25"/>
        <v>17679.160800000001</v>
      </c>
    </row>
    <row r="259" spans="2:8" s="1" customFormat="1" ht="25.5">
      <c r="B259" s="175" t="s">
        <v>2399</v>
      </c>
      <c r="C259" s="170" t="s">
        <v>2211</v>
      </c>
      <c r="D259" s="136" t="s">
        <v>2212</v>
      </c>
      <c r="E259" s="4" t="s">
        <v>24</v>
      </c>
      <c r="F259" s="5" t="s">
        <v>454</v>
      </c>
      <c r="G259" s="5">
        <v>18.23</v>
      </c>
      <c r="H259" s="8">
        <f t="shared" si="25"/>
        <v>4241.9386999999997</v>
      </c>
    </row>
    <row r="260" spans="2:8" s="1" customFormat="1" ht="38.25">
      <c r="B260" s="175" t="s">
        <v>2400</v>
      </c>
      <c r="C260" s="170" t="s">
        <v>2827</v>
      </c>
      <c r="D260" s="3" t="s">
        <v>455</v>
      </c>
      <c r="E260" s="4" t="s">
        <v>456</v>
      </c>
      <c r="F260" s="5" t="s">
        <v>457</v>
      </c>
      <c r="G260" s="5">
        <v>9.7899999999999991</v>
      </c>
      <c r="H260" s="8">
        <f t="shared" si="25"/>
        <v>3700.62</v>
      </c>
    </row>
    <row r="261" spans="2:8" s="1" customFormat="1" ht="25.5">
      <c r="B261" s="175" t="s">
        <v>2401</v>
      </c>
      <c r="C261" s="170" t="s">
        <v>458</v>
      </c>
      <c r="D261" s="3" t="s">
        <v>459</v>
      </c>
      <c r="E261" s="4" t="s">
        <v>24</v>
      </c>
      <c r="F261" s="5" t="s">
        <v>460</v>
      </c>
      <c r="G261" s="5">
        <v>18.149999999999999</v>
      </c>
      <c r="H261" s="8">
        <f t="shared" si="25"/>
        <v>52583.998499999994</v>
      </c>
    </row>
    <row r="262" spans="2:8" s="1" customFormat="1" ht="25.5">
      <c r="B262" s="175" t="s">
        <v>2402</v>
      </c>
      <c r="C262" s="170" t="s">
        <v>461</v>
      </c>
      <c r="D262" s="3" t="s">
        <v>462</v>
      </c>
      <c r="E262" s="4" t="s">
        <v>24</v>
      </c>
      <c r="F262" s="5">
        <v>2659.12</v>
      </c>
      <c r="G262" s="5">
        <v>16.21</v>
      </c>
      <c r="H262" s="8">
        <f t="shared" si="25"/>
        <v>43104.335200000001</v>
      </c>
    </row>
    <row r="263" spans="2:8" s="1" customFormat="1" ht="25.5">
      <c r="B263" s="175" t="s">
        <v>2403</v>
      </c>
      <c r="C263" s="170" t="s">
        <v>463</v>
      </c>
      <c r="D263" s="3" t="s">
        <v>464</v>
      </c>
      <c r="E263" s="4" t="s">
        <v>24</v>
      </c>
      <c r="F263" s="5" t="s">
        <v>460</v>
      </c>
      <c r="G263" s="5">
        <v>21.77</v>
      </c>
      <c r="H263" s="8">
        <f t="shared" si="25"/>
        <v>63071.826300000001</v>
      </c>
    </row>
    <row r="264" spans="2:8" s="1" customFormat="1" ht="27" customHeight="1">
      <c r="B264" s="175" t="s">
        <v>2404</v>
      </c>
      <c r="C264" s="170" t="s">
        <v>2184</v>
      </c>
      <c r="D264" s="3" t="s">
        <v>1838</v>
      </c>
      <c r="E264" s="4" t="s">
        <v>24</v>
      </c>
      <c r="F264" s="5">
        <v>2521.4299999999998</v>
      </c>
      <c r="G264" s="5">
        <f>CPU!H750</f>
        <v>49.419519999999999</v>
      </c>
      <c r="H264" s="8">
        <f t="shared" si="25"/>
        <v>124607.86031359999</v>
      </c>
    </row>
    <row r="265" spans="2:8" s="1" customFormat="1" ht="25.5" customHeight="1">
      <c r="B265" s="175" t="s">
        <v>2405</v>
      </c>
      <c r="C265" s="170" t="s">
        <v>465</v>
      </c>
      <c r="D265" s="3" t="s">
        <v>466</v>
      </c>
      <c r="E265" s="4" t="s">
        <v>24</v>
      </c>
      <c r="F265" s="5" t="s">
        <v>440</v>
      </c>
      <c r="G265" s="5">
        <v>31.92</v>
      </c>
      <c r="H265" s="8">
        <f t="shared" si="25"/>
        <v>63931.610399999998</v>
      </c>
    </row>
    <row r="266" spans="2:8" s="1" customFormat="1" ht="15" customHeight="1">
      <c r="B266" s="175"/>
      <c r="C266" s="7"/>
      <c r="D266" s="193" t="s">
        <v>1175</v>
      </c>
      <c r="E266" s="194"/>
      <c r="F266" s="195"/>
      <c r="G266" s="195"/>
      <c r="H266" s="196">
        <f>SUM(H257:H265)</f>
        <v>489013.647587488</v>
      </c>
    </row>
    <row r="267" spans="2:8" s="134" customFormat="1" ht="15" customHeight="1">
      <c r="B267" s="169" t="s">
        <v>467</v>
      </c>
      <c r="C267" s="169"/>
      <c r="D267" s="187" t="s">
        <v>468</v>
      </c>
      <c r="E267" s="187"/>
      <c r="F267" s="187"/>
      <c r="G267" s="187"/>
      <c r="H267" s="190" t="s">
        <v>1154</v>
      </c>
    </row>
    <row r="268" spans="2:8" s="1" customFormat="1" ht="25.5">
      <c r="B268" s="175" t="s">
        <v>2406</v>
      </c>
      <c r="C268" s="170" t="s">
        <v>2021</v>
      </c>
      <c r="D268" s="136" t="s">
        <v>469</v>
      </c>
      <c r="E268" s="4" t="s">
        <v>24</v>
      </c>
      <c r="F268" s="5">
        <v>343.57</v>
      </c>
      <c r="G268" s="5">
        <f>CPU!H765</f>
        <v>92.364261885399998</v>
      </c>
      <c r="H268" s="8">
        <f t="shared" si="25"/>
        <v>31733.589455966878</v>
      </c>
    </row>
    <row r="269" spans="2:8" s="134" customFormat="1" ht="15" customHeight="1">
      <c r="B269" s="175"/>
      <c r="C269" s="138"/>
      <c r="D269" s="193" t="s">
        <v>1176</v>
      </c>
      <c r="E269" s="194"/>
      <c r="F269" s="195"/>
      <c r="G269" s="195"/>
      <c r="H269" s="196">
        <f>SUM(H268)</f>
        <v>31733.589455966878</v>
      </c>
    </row>
    <row r="270" spans="2:8" s="134" customFormat="1" ht="15" customHeight="1">
      <c r="B270" s="169" t="s">
        <v>470</v>
      </c>
      <c r="C270" s="169"/>
      <c r="D270" s="187" t="s">
        <v>471</v>
      </c>
      <c r="E270" s="187"/>
      <c r="F270" s="187"/>
      <c r="G270" s="187"/>
      <c r="H270" s="190" t="s">
        <v>1154</v>
      </c>
    </row>
    <row r="271" spans="2:8" s="1" customFormat="1" ht="25.5">
      <c r="B271" s="175" t="s">
        <v>2407</v>
      </c>
      <c r="C271" s="170" t="s">
        <v>2022</v>
      </c>
      <c r="D271" s="136" t="s">
        <v>473</v>
      </c>
      <c r="E271" s="4" t="s">
        <v>24</v>
      </c>
      <c r="F271" s="5" t="s">
        <v>474</v>
      </c>
      <c r="G271" s="5">
        <f>CPU!H770</f>
        <v>15.78919021928</v>
      </c>
      <c r="H271" s="8">
        <f t="shared" si="25"/>
        <v>65377.352589559545</v>
      </c>
    </row>
    <row r="272" spans="2:8" s="1" customFormat="1" ht="25.5">
      <c r="B272" s="175" t="s">
        <v>2408</v>
      </c>
      <c r="C272" s="170" t="s">
        <v>2023</v>
      </c>
      <c r="D272" s="3" t="s">
        <v>475</v>
      </c>
      <c r="E272" s="4" t="s">
        <v>24</v>
      </c>
      <c r="F272" s="5" t="s">
        <v>476</v>
      </c>
      <c r="G272" s="5">
        <f>CPU!H776</f>
        <v>18.048127000000001</v>
      </c>
      <c r="H272" s="8">
        <f t="shared" si="25"/>
        <v>6371.5302748100003</v>
      </c>
    </row>
    <row r="273" spans="2:8" s="1" customFormat="1" ht="51">
      <c r="B273" s="175" t="s">
        <v>2409</v>
      </c>
      <c r="C273" s="170" t="s">
        <v>2025</v>
      </c>
      <c r="D273" s="85" t="s">
        <v>1839</v>
      </c>
      <c r="E273" s="4" t="s">
        <v>24</v>
      </c>
      <c r="F273" s="5">
        <v>3623</v>
      </c>
      <c r="G273" s="5">
        <f>CPU!H784</f>
        <v>338.27197499999994</v>
      </c>
      <c r="H273" s="8">
        <f t="shared" si="25"/>
        <v>1225559.3654249997</v>
      </c>
    </row>
    <row r="274" spans="2:8" s="1" customFormat="1" ht="51">
      <c r="B274" s="175" t="s">
        <v>2410</v>
      </c>
      <c r="C274" s="170" t="s">
        <v>2026</v>
      </c>
      <c r="D274" s="85" t="s">
        <v>1840</v>
      </c>
      <c r="E274" s="4" t="s">
        <v>24</v>
      </c>
      <c r="F274" s="5" t="s">
        <v>477</v>
      </c>
      <c r="G274" s="5">
        <f>CPU!H792</f>
        <v>198.93667500000004</v>
      </c>
      <c r="H274" s="8">
        <f t="shared" si="25"/>
        <v>143429.36394150002</v>
      </c>
    </row>
    <row r="275" spans="2:8" s="1" customFormat="1" ht="51">
      <c r="B275" s="175" t="s">
        <v>2411</v>
      </c>
      <c r="C275" s="170" t="s">
        <v>2027</v>
      </c>
      <c r="D275" s="3" t="s">
        <v>478</v>
      </c>
      <c r="E275" s="4" t="s">
        <v>24</v>
      </c>
      <c r="F275" s="5" t="s">
        <v>479</v>
      </c>
      <c r="G275" s="5">
        <f>CPU!H799</f>
        <v>49.039649999999995</v>
      </c>
      <c r="H275" s="8">
        <f t="shared" si="25"/>
        <v>50031.231722999997</v>
      </c>
    </row>
    <row r="276" spans="2:8" s="1" customFormat="1" ht="25.5">
      <c r="B276" s="175" t="s">
        <v>2412</v>
      </c>
      <c r="C276" s="170" t="s">
        <v>2028</v>
      </c>
      <c r="D276" s="3" t="s">
        <v>480</v>
      </c>
      <c r="E276" s="4" t="s">
        <v>24</v>
      </c>
      <c r="F276" s="5" t="s">
        <v>477</v>
      </c>
      <c r="G276" s="5">
        <f>CPU!H807</f>
        <v>144.29044235119713</v>
      </c>
      <c r="H276" s="8">
        <f t="shared" si="25"/>
        <v>104030.52312636611</v>
      </c>
    </row>
    <row r="277" spans="2:8" s="1" customFormat="1" ht="51">
      <c r="B277" s="175" t="s">
        <v>2413</v>
      </c>
      <c r="C277" s="170" t="s">
        <v>481</v>
      </c>
      <c r="D277" s="3" t="s">
        <v>482</v>
      </c>
      <c r="E277" s="4" t="s">
        <v>24</v>
      </c>
      <c r="F277" s="5" t="s">
        <v>483</v>
      </c>
      <c r="G277" s="5">
        <v>58.68</v>
      </c>
      <c r="H277" s="8">
        <f t="shared" si="25"/>
        <v>313070.7096</v>
      </c>
    </row>
    <row r="278" spans="2:8" s="1" customFormat="1" ht="38.25">
      <c r="B278" s="175" t="s">
        <v>2414</v>
      </c>
      <c r="C278" s="170" t="s">
        <v>484</v>
      </c>
      <c r="D278" s="3" t="s">
        <v>485</v>
      </c>
      <c r="E278" s="4" t="s">
        <v>24</v>
      </c>
      <c r="F278" s="5" t="s">
        <v>486</v>
      </c>
      <c r="G278" s="5">
        <v>99.72</v>
      </c>
      <c r="H278" s="8">
        <f t="shared" si="25"/>
        <v>119123.51759999999</v>
      </c>
    </row>
    <row r="279" spans="2:8" s="1" customFormat="1" ht="38.25">
      <c r="B279" s="175" t="s">
        <v>2415</v>
      </c>
      <c r="C279" s="170" t="s">
        <v>487</v>
      </c>
      <c r="D279" s="3" t="s">
        <v>488</v>
      </c>
      <c r="E279" s="4" t="s">
        <v>24</v>
      </c>
      <c r="F279" s="5" t="s">
        <v>474</v>
      </c>
      <c r="G279" s="5">
        <v>186.25</v>
      </c>
      <c r="H279" s="8">
        <f t="shared" si="25"/>
        <v>771194.20000000007</v>
      </c>
    </row>
    <row r="280" spans="2:8" s="1" customFormat="1" ht="27" customHeight="1">
      <c r="B280" s="175" t="s">
        <v>2416</v>
      </c>
      <c r="C280" s="170" t="s">
        <v>489</v>
      </c>
      <c r="D280" s="3" t="s">
        <v>490</v>
      </c>
      <c r="E280" s="4" t="s">
        <v>24</v>
      </c>
      <c r="F280" s="5" t="s">
        <v>491</v>
      </c>
      <c r="G280" s="5">
        <v>28.55</v>
      </c>
      <c r="H280" s="8">
        <f t="shared" si="25"/>
        <v>29574.945000000003</v>
      </c>
    </row>
    <row r="281" spans="2:8" s="1" customFormat="1" ht="38.25">
      <c r="B281" s="175" t="s">
        <v>2417</v>
      </c>
      <c r="C281" s="170" t="s">
        <v>492</v>
      </c>
      <c r="D281" s="3" t="s">
        <v>493</v>
      </c>
      <c r="E281" s="4" t="s">
        <v>24</v>
      </c>
      <c r="F281" s="5" t="s">
        <v>494</v>
      </c>
      <c r="G281" s="5">
        <v>52.16</v>
      </c>
      <c r="H281" s="8">
        <f t="shared" si="25"/>
        <v>100336.5408</v>
      </c>
    </row>
    <row r="282" spans="2:8" s="1" customFormat="1" ht="25.5">
      <c r="B282" s="175" t="s">
        <v>2418</v>
      </c>
      <c r="C282" s="170" t="s">
        <v>177</v>
      </c>
      <c r="D282" s="3" t="s">
        <v>178</v>
      </c>
      <c r="E282" s="4" t="s">
        <v>24</v>
      </c>
      <c r="F282" s="5" t="s">
        <v>495</v>
      </c>
      <c r="G282" s="5">
        <v>42.22</v>
      </c>
      <c r="H282" s="8">
        <f t="shared" si="25"/>
        <v>14958.546</v>
      </c>
    </row>
    <row r="283" spans="2:8" s="134" customFormat="1" ht="15" customHeight="1">
      <c r="B283" s="175"/>
      <c r="C283" s="138"/>
      <c r="D283" s="193" t="s">
        <v>1177</v>
      </c>
      <c r="E283" s="194"/>
      <c r="F283" s="195"/>
      <c r="G283" s="195"/>
      <c r="H283" s="196">
        <f>SUM(H271:H282)</f>
        <v>2943057.8260802352</v>
      </c>
    </row>
    <row r="284" spans="2:8" s="134" customFormat="1" ht="15" customHeight="1">
      <c r="B284" s="169" t="s">
        <v>496</v>
      </c>
      <c r="C284" s="169"/>
      <c r="D284" s="187" t="s">
        <v>497</v>
      </c>
      <c r="E284" s="187"/>
      <c r="F284" s="187"/>
      <c r="G284" s="187"/>
      <c r="H284" s="190" t="s">
        <v>1154</v>
      </c>
    </row>
    <row r="285" spans="2:8" s="134" customFormat="1" ht="15" customHeight="1">
      <c r="B285" s="169" t="s">
        <v>498</v>
      </c>
      <c r="C285" s="169"/>
      <c r="D285" s="187" t="s">
        <v>499</v>
      </c>
      <c r="E285" s="187"/>
      <c r="F285" s="187"/>
      <c r="G285" s="187"/>
      <c r="H285" s="190" t="s">
        <v>1154</v>
      </c>
    </row>
    <row r="286" spans="2:8" s="1" customFormat="1" ht="25.5">
      <c r="B286" s="175" t="s">
        <v>2419</v>
      </c>
      <c r="C286" s="170" t="s">
        <v>2032</v>
      </c>
      <c r="D286" s="136" t="s">
        <v>500</v>
      </c>
      <c r="E286" s="4" t="s">
        <v>15</v>
      </c>
      <c r="F286" s="5" t="s">
        <v>501</v>
      </c>
      <c r="G286" s="5">
        <f>CPU!H815</f>
        <v>32.136476572109999</v>
      </c>
      <c r="H286" s="8">
        <f t="shared" ref="H286:H311" si="26">F286*G286</f>
        <v>61266.585760899106</v>
      </c>
    </row>
    <row r="287" spans="2:8" s="134" customFormat="1" ht="15" customHeight="1">
      <c r="B287" s="169" t="s">
        <v>502</v>
      </c>
      <c r="C287" s="169"/>
      <c r="D287" s="187" t="s">
        <v>503</v>
      </c>
      <c r="E287" s="187"/>
      <c r="F287" s="187"/>
      <c r="G287" s="187"/>
      <c r="H287" s="190" t="s">
        <v>1154</v>
      </c>
    </row>
    <row r="288" spans="2:8" s="1" customFormat="1" ht="25.5">
      <c r="B288" s="175" t="s">
        <v>2420</v>
      </c>
      <c r="C288" s="170" t="s">
        <v>1463</v>
      </c>
      <c r="D288" s="85" t="s">
        <v>1464</v>
      </c>
      <c r="E288" s="4" t="s">
        <v>15</v>
      </c>
      <c r="F288" s="5">
        <v>322.56</v>
      </c>
      <c r="G288" s="5">
        <v>87.24</v>
      </c>
      <c r="H288" s="8">
        <f t="shared" si="26"/>
        <v>28140.134399999999</v>
      </c>
    </row>
    <row r="289" spans="2:8" s="134" customFormat="1" ht="15" customHeight="1">
      <c r="B289" s="169" t="s">
        <v>504</v>
      </c>
      <c r="C289" s="169"/>
      <c r="D289" s="187" t="s">
        <v>505</v>
      </c>
      <c r="E289" s="187"/>
      <c r="F289" s="187"/>
      <c r="G289" s="187"/>
      <c r="H289" s="190" t="s">
        <v>1154</v>
      </c>
    </row>
    <row r="290" spans="2:8" s="1" customFormat="1" ht="25.5">
      <c r="B290" s="175" t="s">
        <v>2421</v>
      </c>
      <c r="C290" s="170" t="s">
        <v>2033</v>
      </c>
      <c r="D290" s="3" t="s">
        <v>506</v>
      </c>
      <c r="E290" s="4" t="s">
        <v>507</v>
      </c>
      <c r="F290" s="5" t="s">
        <v>508</v>
      </c>
      <c r="G290" s="5">
        <f>CPU!H823</f>
        <v>108.84051139898</v>
      </c>
      <c r="H290" s="8">
        <f t="shared" si="26"/>
        <v>20536.027690759547</v>
      </c>
    </row>
    <row r="291" spans="2:8" s="1" customFormat="1" ht="25.5">
      <c r="B291" s="175" t="s">
        <v>2422</v>
      </c>
      <c r="C291" s="170" t="s">
        <v>2034</v>
      </c>
      <c r="D291" s="3" t="s">
        <v>509</v>
      </c>
      <c r="E291" s="4" t="s">
        <v>15</v>
      </c>
      <c r="F291" s="5" t="s">
        <v>510</v>
      </c>
      <c r="G291" s="5">
        <f>CPU!H829</f>
        <v>149.00433283750002</v>
      </c>
      <c r="H291" s="8">
        <f t="shared" si="26"/>
        <v>26145.790282996128</v>
      </c>
    </row>
    <row r="292" spans="2:8" s="1" customFormat="1" ht="15" customHeight="1">
      <c r="B292" s="175"/>
      <c r="C292" s="170"/>
      <c r="D292" s="193" t="s">
        <v>1178</v>
      </c>
      <c r="E292" s="194"/>
      <c r="F292" s="195"/>
      <c r="G292" s="195"/>
      <c r="H292" s="196">
        <f>SUM(H286:H291)</f>
        <v>136088.53813465478</v>
      </c>
    </row>
    <row r="293" spans="2:8" s="134" customFormat="1" ht="15" customHeight="1">
      <c r="B293" s="169" t="s">
        <v>511</v>
      </c>
      <c r="C293" s="169"/>
      <c r="D293" s="187" t="s">
        <v>512</v>
      </c>
      <c r="E293" s="187"/>
      <c r="F293" s="187"/>
      <c r="G293" s="187"/>
      <c r="H293" s="190" t="s">
        <v>1154</v>
      </c>
    </row>
    <row r="294" spans="2:8" s="1" customFormat="1" ht="38.25">
      <c r="B294" s="175" t="s">
        <v>2423</v>
      </c>
      <c r="C294" s="170" t="s">
        <v>2035</v>
      </c>
      <c r="D294" s="3" t="s">
        <v>2036</v>
      </c>
      <c r="E294" s="4" t="s">
        <v>15</v>
      </c>
      <c r="F294" s="5" t="s">
        <v>513</v>
      </c>
      <c r="G294" s="5">
        <f>CPU!H839</f>
        <v>525.24128908038006</v>
      </c>
      <c r="H294" s="8">
        <f t="shared" si="26"/>
        <v>26577.209227467232</v>
      </c>
    </row>
    <row r="295" spans="2:8" s="1" customFormat="1" ht="43.5" customHeight="1">
      <c r="B295" s="175" t="s">
        <v>2424</v>
      </c>
      <c r="C295" s="170" t="s">
        <v>2037</v>
      </c>
      <c r="D295" s="3" t="s">
        <v>1843</v>
      </c>
      <c r="E295" s="4" t="s">
        <v>15</v>
      </c>
      <c r="F295" s="5">
        <v>49</v>
      </c>
      <c r="G295" s="5">
        <f>CPU!H848</f>
        <v>491.0861210921999</v>
      </c>
      <c r="H295" s="8">
        <f t="shared" si="26"/>
        <v>24063.219933517794</v>
      </c>
    </row>
    <row r="296" spans="2:8" s="1" customFormat="1" ht="29.25" customHeight="1">
      <c r="B296" s="175" t="s">
        <v>2425</v>
      </c>
      <c r="C296" s="170" t="s">
        <v>2038</v>
      </c>
      <c r="D296" s="85" t="s">
        <v>1844</v>
      </c>
      <c r="E296" s="96" t="s">
        <v>37</v>
      </c>
      <c r="F296" s="5">
        <v>1</v>
      </c>
      <c r="G296" s="203">
        <f>CPU!H858</f>
        <v>2292.8027510000002</v>
      </c>
      <c r="H296" s="8">
        <f t="shared" si="26"/>
        <v>2292.8027510000002</v>
      </c>
    </row>
    <row r="297" spans="2:8" s="1" customFormat="1" ht="29.25" customHeight="1">
      <c r="B297" s="175" t="s">
        <v>2426</v>
      </c>
      <c r="C297" s="170" t="s">
        <v>2039</v>
      </c>
      <c r="D297" s="85" t="s">
        <v>1845</v>
      </c>
      <c r="E297" s="96" t="s">
        <v>37</v>
      </c>
      <c r="F297" s="5">
        <v>1</v>
      </c>
      <c r="G297" s="5">
        <f>CPU!H867</f>
        <v>3180.3505679999998</v>
      </c>
      <c r="H297" s="8">
        <f t="shared" si="26"/>
        <v>3180.3505679999998</v>
      </c>
    </row>
    <row r="298" spans="2:8" s="1" customFormat="1" ht="29.25" customHeight="1">
      <c r="B298" s="175" t="s">
        <v>2427</v>
      </c>
      <c r="C298" s="170" t="s">
        <v>2040</v>
      </c>
      <c r="D298" s="85" t="s">
        <v>1846</v>
      </c>
      <c r="E298" s="96" t="s">
        <v>37</v>
      </c>
      <c r="F298" s="5">
        <v>1</v>
      </c>
      <c r="G298" s="5">
        <f>CPU!H877</f>
        <v>2831.3210710000003</v>
      </c>
      <c r="H298" s="8">
        <f t="shared" si="26"/>
        <v>2831.3210710000003</v>
      </c>
    </row>
    <row r="299" spans="2:8" s="1" customFormat="1" ht="24.75" customHeight="1">
      <c r="B299" s="175" t="s">
        <v>2428</v>
      </c>
      <c r="C299" s="170" t="s">
        <v>2041</v>
      </c>
      <c r="D299" s="85" t="s">
        <v>1847</v>
      </c>
      <c r="E299" s="96" t="s">
        <v>37</v>
      </c>
      <c r="F299" s="5">
        <v>1</v>
      </c>
      <c r="G299" s="5">
        <f>CPU!H887</f>
        <v>6490.8290699999998</v>
      </c>
      <c r="H299" s="8">
        <f t="shared" si="26"/>
        <v>6490.8290699999998</v>
      </c>
    </row>
    <row r="300" spans="2:8" s="1" customFormat="1" ht="27.75" customHeight="1">
      <c r="B300" s="175" t="s">
        <v>2429</v>
      </c>
      <c r="C300" s="170" t="s">
        <v>2042</v>
      </c>
      <c r="D300" s="85" t="s">
        <v>1848</v>
      </c>
      <c r="E300" s="96" t="s">
        <v>37</v>
      </c>
      <c r="F300" s="5">
        <v>1</v>
      </c>
      <c r="G300" s="5">
        <f>CPU!H897</f>
        <v>5631.4435219999996</v>
      </c>
      <c r="H300" s="8">
        <f t="shared" si="26"/>
        <v>5631.4435219999996</v>
      </c>
    </row>
    <row r="301" spans="2:8" s="134" customFormat="1" ht="15" customHeight="1">
      <c r="B301" s="175"/>
      <c r="C301" s="170"/>
      <c r="D301" s="193" t="s">
        <v>1179</v>
      </c>
      <c r="E301" s="194"/>
      <c r="F301" s="195"/>
      <c r="G301" s="195"/>
      <c r="H301" s="196">
        <f>SUM(H294:H300)</f>
        <v>71067.17614298503</v>
      </c>
    </row>
    <row r="302" spans="2:8" s="134" customFormat="1" ht="15" customHeight="1">
      <c r="B302" s="169" t="s">
        <v>514</v>
      </c>
      <c r="C302" s="169"/>
      <c r="D302" s="187" t="s">
        <v>515</v>
      </c>
      <c r="E302" s="187"/>
      <c r="F302" s="187"/>
      <c r="G302" s="187"/>
      <c r="H302" s="190" t="s">
        <v>1154</v>
      </c>
    </row>
    <row r="303" spans="2:8" s="1" customFormat="1" ht="17.100000000000001" customHeight="1">
      <c r="B303" s="175" t="s">
        <v>2430</v>
      </c>
      <c r="C303" s="170" t="s">
        <v>517</v>
      </c>
      <c r="D303" s="136" t="s">
        <v>518</v>
      </c>
      <c r="E303" s="4" t="s">
        <v>37</v>
      </c>
      <c r="F303" s="5" t="s">
        <v>289</v>
      </c>
      <c r="G303" s="432">
        <f>73.34*1.2173</f>
        <v>89.276782000000011</v>
      </c>
      <c r="H303" s="8">
        <f t="shared" si="26"/>
        <v>1964.0892040000003</v>
      </c>
    </row>
    <row r="304" spans="2:8" s="1" customFormat="1" ht="17.100000000000001" customHeight="1">
      <c r="B304" s="175" t="s">
        <v>2431</v>
      </c>
      <c r="C304" s="170" t="s">
        <v>519</v>
      </c>
      <c r="D304" s="136" t="s">
        <v>520</v>
      </c>
      <c r="E304" s="4" t="s">
        <v>37</v>
      </c>
      <c r="F304" s="5" t="s">
        <v>25</v>
      </c>
      <c r="G304" s="5">
        <v>28.74</v>
      </c>
      <c r="H304" s="8">
        <f t="shared" si="26"/>
        <v>775.9799999999999</v>
      </c>
    </row>
    <row r="305" spans="2:8" s="1" customFormat="1" ht="17.100000000000001" customHeight="1">
      <c r="B305" s="175" t="s">
        <v>2432</v>
      </c>
      <c r="C305" s="170" t="s">
        <v>521</v>
      </c>
      <c r="D305" s="136" t="s">
        <v>522</v>
      </c>
      <c r="E305" s="4" t="s">
        <v>37</v>
      </c>
      <c r="F305" s="5" t="s">
        <v>523</v>
      </c>
      <c r="G305" s="5">
        <v>46.36</v>
      </c>
      <c r="H305" s="8">
        <f t="shared" si="26"/>
        <v>4218.76</v>
      </c>
    </row>
    <row r="306" spans="2:8" s="134" customFormat="1" ht="15" customHeight="1">
      <c r="B306" s="175"/>
      <c r="C306" s="171"/>
      <c r="D306" s="193" t="s">
        <v>1180</v>
      </c>
      <c r="E306" s="194"/>
      <c r="F306" s="195"/>
      <c r="G306" s="195"/>
      <c r="H306" s="196">
        <f>SUM(H303:H305)</f>
        <v>6958.8292040000006</v>
      </c>
    </row>
    <row r="307" spans="2:8" s="134" customFormat="1" ht="15" customHeight="1">
      <c r="B307" s="169" t="s">
        <v>524</v>
      </c>
      <c r="C307" s="169"/>
      <c r="D307" s="187" t="s">
        <v>525</v>
      </c>
      <c r="E307" s="187"/>
      <c r="F307" s="187"/>
      <c r="G307" s="187"/>
      <c r="H307" s="190" t="s">
        <v>1154</v>
      </c>
    </row>
    <row r="308" spans="2:8" s="1" customFormat="1" ht="25.5">
      <c r="B308" s="175" t="s">
        <v>2433</v>
      </c>
      <c r="C308" s="170" t="s">
        <v>526</v>
      </c>
      <c r="D308" s="3" t="s">
        <v>527</v>
      </c>
      <c r="E308" s="4" t="s">
        <v>24</v>
      </c>
      <c r="F308" s="5" t="s">
        <v>528</v>
      </c>
      <c r="G308" s="5">
        <v>21.41</v>
      </c>
      <c r="H308" s="8">
        <f t="shared" si="26"/>
        <v>19183.36</v>
      </c>
    </row>
    <row r="309" spans="2:8" s="1" customFormat="1" ht="17.25" customHeight="1">
      <c r="B309" s="175" t="s">
        <v>2434</v>
      </c>
      <c r="C309" s="170" t="s">
        <v>529</v>
      </c>
      <c r="D309" s="136" t="s">
        <v>530</v>
      </c>
      <c r="E309" s="4" t="s">
        <v>24</v>
      </c>
      <c r="F309" s="5">
        <v>8620</v>
      </c>
      <c r="G309" s="5">
        <v>14.54</v>
      </c>
      <c r="H309" s="8">
        <f t="shared" si="26"/>
        <v>125334.79999999999</v>
      </c>
    </row>
    <row r="310" spans="2:8" s="1" customFormat="1" ht="24.75" customHeight="1">
      <c r="B310" s="175" t="s">
        <v>2435</v>
      </c>
      <c r="C310" s="170" t="s">
        <v>1924</v>
      </c>
      <c r="D310" s="3" t="s">
        <v>1925</v>
      </c>
      <c r="E310" s="4" t="s">
        <v>37</v>
      </c>
      <c r="F310" s="5">
        <v>34</v>
      </c>
      <c r="G310" s="432">
        <f>107.26*1.2173</f>
        <v>130.567598</v>
      </c>
      <c r="H310" s="8">
        <f t="shared" si="26"/>
        <v>4439.2983320000003</v>
      </c>
    </row>
    <row r="311" spans="2:8" s="1" customFormat="1" ht="27.75" customHeight="1">
      <c r="B311" s="175" t="s">
        <v>2436</v>
      </c>
      <c r="C311" s="170" t="s">
        <v>1926</v>
      </c>
      <c r="D311" s="3" t="s">
        <v>1927</v>
      </c>
      <c r="E311" s="4" t="s">
        <v>37</v>
      </c>
      <c r="F311" s="5">
        <v>34</v>
      </c>
      <c r="G311" s="5">
        <v>127.27</v>
      </c>
      <c r="H311" s="8">
        <f t="shared" si="26"/>
        <v>4327.18</v>
      </c>
    </row>
    <row r="312" spans="2:8" s="134" customFormat="1" ht="15" customHeight="1">
      <c r="B312" s="175"/>
      <c r="C312" s="170"/>
      <c r="D312" s="193" t="s">
        <v>1181</v>
      </c>
      <c r="E312" s="194"/>
      <c r="F312" s="195"/>
      <c r="G312" s="195"/>
      <c r="H312" s="196">
        <f>SUM(H308:H311)</f>
        <v>153284.63833199997</v>
      </c>
    </row>
    <row r="313" spans="2:8" s="134" customFormat="1" ht="15" customHeight="1">
      <c r="B313" s="169" t="s">
        <v>531</v>
      </c>
      <c r="C313" s="169"/>
      <c r="D313" s="187" t="s">
        <v>532</v>
      </c>
      <c r="E313" s="187"/>
      <c r="F313" s="187"/>
      <c r="G313" s="187"/>
      <c r="H313" s="190" t="s">
        <v>1154</v>
      </c>
    </row>
    <row r="314" spans="2:8" s="134" customFormat="1" ht="15" customHeight="1">
      <c r="B314" s="169" t="s">
        <v>533</v>
      </c>
      <c r="C314" s="169"/>
      <c r="D314" s="187" t="s">
        <v>534</v>
      </c>
      <c r="E314" s="187"/>
      <c r="F314" s="187"/>
      <c r="G314" s="187"/>
      <c r="H314" s="190" t="s">
        <v>1154</v>
      </c>
    </row>
    <row r="315" spans="2:8" s="1" customFormat="1" ht="39.75" customHeight="1">
      <c r="B315" s="175" t="s">
        <v>2437</v>
      </c>
      <c r="C315" s="170" t="s">
        <v>2185</v>
      </c>
      <c r="D315" s="3" t="s">
        <v>74</v>
      </c>
      <c r="E315" s="4" t="s">
        <v>75</v>
      </c>
      <c r="F315" s="5" t="s">
        <v>535</v>
      </c>
      <c r="G315" s="432">
        <f>6.08*1.2173</f>
        <v>7.4011840000000007</v>
      </c>
      <c r="H315" s="8">
        <f t="shared" ref="H315:H323" si="27">F315*G315</f>
        <v>5509.8114288000006</v>
      </c>
    </row>
    <row r="316" spans="2:8" s="1" customFormat="1" ht="38.25">
      <c r="B316" s="175" t="s">
        <v>2438</v>
      </c>
      <c r="C316" s="170" t="s">
        <v>106</v>
      </c>
      <c r="D316" s="3" t="s">
        <v>107</v>
      </c>
      <c r="E316" s="4" t="s">
        <v>108</v>
      </c>
      <c r="F316" s="5" t="s">
        <v>536</v>
      </c>
      <c r="G316" s="5">
        <v>0.89</v>
      </c>
      <c r="H316" s="8">
        <f t="shared" si="27"/>
        <v>15238.8915</v>
      </c>
    </row>
    <row r="317" spans="2:8" s="134" customFormat="1" ht="15" customHeight="1">
      <c r="B317" s="169" t="s">
        <v>537</v>
      </c>
      <c r="C317" s="169"/>
      <c r="D317" s="187" t="s">
        <v>538</v>
      </c>
      <c r="E317" s="187"/>
      <c r="F317" s="187"/>
      <c r="G317" s="187"/>
      <c r="H317" s="190" t="s">
        <v>1154</v>
      </c>
    </row>
    <row r="318" spans="2:8" s="1" customFormat="1" ht="25.5">
      <c r="B318" s="175" t="s">
        <v>2439</v>
      </c>
      <c r="C318" s="170" t="s">
        <v>2213</v>
      </c>
      <c r="D318" s="3" t="s">
        <v>539</v>
      </c>
      <c r="E318" s="4" t="s">
        <v>24</v>
      </c>
      <c r="F318" s="5" t="s">
        <v>540</v>
      </c>
      <c r="G318" s="5">
        <v>2.23</v>
      </c>
      <c r="H318" s="8">
        <f t="shared" si="27"/>
        <v>5213.74</v>
      </c>
    </row>
    <row r="319" spans="2:8" s="1" customFormat="1" ht="38.25">
      <c r="B319" s="175" t="s">
        <v>2440</v>
      </c>
      <c r="C319" s="170" t="s">
        <v>2043</v>
      </c>
      <c r="D319" s="3" t="s">
        <v>541</v>
      </c>
      <c r="E319" s="4" t="s">
        <v>75</v>
      </c>
      <c r="F319" s="5" t="s">
        <v>542</v>
      </c>
      <c r="G319" s="5">
        <f>CPU!H902</f>
        <v>2.2051781999999998</v>
      </c>
      <c r="H319" s="8">
        <f t="shared" si="27"/>
        <v>1032.0233976</v>
      </c>
    </row>
    <row r="320" spans="2:8" s="134" customFormat="1" ht="15" customHeight="1">
      <c r="B320" s="169" t="s">
        <v>543</v>
      </c>
      <c r="C320" s="169"/>
      <c r="D320" s="187" t="s">
        <v>544</v>
      </c>
      <c r="E320" s="187"/>
      <c r="F320" s="187"/>
      <c r="G320" s="187"/>
      <c r="H320" s="190" t="s">
        <v>1154</v>
      </c>
    </row>
    <row r="321" spans="2:8" s="1" customFormat="1" ht="65.25" customHeight="1">
      <c r="B321" s="175" t="s">
        <v>2441</v>
      </c>
      <c r="C321" s="170" t="s">
        <v>545</v>
      </c>
      <c r="D321" s="3" t="s">
        <v>546</v>
      </c>
      <c r="E321" s="4" t="s">
        <v>15</v>
      </c>
      <c r="F321" s="5" t="s">
        <v>547</v>
      </c>
      <c r="G321" s="5">
        <v>53.75</v>
      </c>
      <c r="H321" s="8">
        <f t="shared" si="27"/>
        <v>18221.25</v>
      </c>
    </row>
    <row r="322" spans="2:8" s="134" customFormat="1" ht="15" customHeight="1">
      <c r="B322" s="169" t="s">
        <v>548</v>
      </c>
      <c r="C322" s="169" t="s">
        <v>548</v>
      </c>
      <c r="D322" s="187" t="s">
        <v>549</v>
      </c>
      <c r="E322" s="187"/>
      <c r="F322" s="187"/>
      <c r="G322" s="187"/>
      <c r="H322" s="190" t="s">
        <v>1154</v>
      </c>
    </row>
    <row r="323" spans="2:8" s="1" customFormat="1" ht="18" customHeight="1">
      <c r="B323" s="175" t="s">
        <v>2442</v>
      </c>
      <c r="C323" s="170" t="s">
        <v>2186</v>
      </c>
      <c r="D323" s="136" t="s">
        <v>550</v>
      </c>
      <c r="E323" s="4" t="s">
        <v>75</v>
      </c>
      <c r="F323" s="5">
        <v>269.73</v>
      </c>
      <c r="G323" s="432">
        <v>177.13</v>
      </c>
      <c r="H323" s="8">
        <f t="shared" si="27"/>
        <v>47777.274900000004</v>
      </c>
    </row>
    <row r="324" spans="2:8" s="134" customFormat="1" ht="15" customHeight="1">
      <c r="B324" s="169" t="s">
        <v>551</v>
      </c>
      <c r="C324" s="169" t="s">
        <v>551</v>
      </c>
      <c r="D324" s="187" t="s">
        <v>422</v>
      </c>
      <c r="E324" s="187"/>
      <c r="F324" s="187"/>
      <c r="G324" s="187"/>
      <c r="H324" s="190" t="s">
        <v>1154</v>
      </c>
    </row>
    <row r="325" spans="2:8" s="1" customFormat="1" ht="38.25">
      <c r="B325" s="175" t="s">
        <v>2443</v>
      </c>
      <c r="C325" s="170" t="s">
        <v>552</v>
      </c>
      <c r="D325" s="3" t="s">
        <v>553</v>
      </c>
      <c r="E325" s="4" t="s">
        <v>24</v>
      </c>
      <c r="F325" s="5" t="s">
        <v>528</v>
      </c>
      <c r="G325" s="5">
        <v>73.11</v>
      </c>
      <c r="H325" s="8">
        <f t="shared" ref="H325:H334" si="28">F325*G325</f>
        <v>65506.559999999998</v>
      </c>
    </row>
    <row r="326" spans="2:8" s="1" customFormat="1" ht="39" customHeight="1">
      <c r="B326" s="175" t="s">
        <v>2444</v>
      </c>
      <c r="C326" s="170" t="s">
        <v>554</v>
      </c>
      <c r="D326" s="3" t="s">
        <v>555</v>
      </c>
      <c r="E326" s="4" t="s">
        <v>24</v>
      </c>
      <c r="F326" s="5">
        <v>902.2</v>
      </c>
      <c r="G326" s="5">
        <v>76.099999999999994</v>
      </c>
      <c r="H326" s="8">
        <f t="shared" si="28"/>
        <v>68657.42</v>
      </c>
    </row>
    <row r="327" spans="2:8" s="134" customFormat="1" ht="15" customHeight="1">
      <c r="B327" s="169" t="s">
        <v>556</v>
      </c>
      <c r="C327" s="169" t="s">
        <v>556</v>
      </c>
      <c r="D327" s="187" t="s">
        <v>557</v>
      </c>
      <c r="E327" s="187"/>
      <c r="F327" s="187"/>
      <c r="G327" s="187"/>
      <c r="H327" s="190" t="s">
        <v>1154</v>
      </c>
    </row>
    <row r="328" spans="2:8" s="1" customFormat="1" ht="38.25">
      <c r="B328" s="175" t="s">
        <v>2445</v>
      </c>
      <c r="C328" s="170" t="s">
        <v>558</v>
      </c>
      <c r="D328" s="3" t="s">
        <v>559</v>
      </c>
      <c r="E328" s="4" t="s">
        <v>24</v>
      </c>
      <c r="F328" s="5">
        <v>2040.5</v>
      </c>
      <c r="G328" s="5">
        <v>85.44</v>
      </c>
      <c r="H328" s="8">
        <f t="shared" si="28"/>
        <v>174340.32</v>
      </c>
    </row>
    <row r="329" spans="2:8" s="1" customFormat="1" ht="25.5" customHeight="1">
      <c r="B329" s="175" t="s">
        <v>2446</v>
      </c>
      <c r="C329" s="177" t="s">
        <v>2187</v>
      </c>
      <c r="D329" s="85" t="s">
        <v>1859</v>
      </c>
      <c r="E329" s="4" t="s">
        <v>37</v>
      </c>
      <c r="F329" s="5">
        <v>3</v>
      </c>
      <c r="G329" s="5">
        <f>CPU!H918</f>
        <v>777.74330268800009</v>
      </c>
      <c r="H329" s="8">
        <f t="shared" si="28"/>
        <v>2333.2299080640005</v>
      </c>
    </row>
    <row r="330" spans="2:8" s="1" customFormat="1" ht="15" customHeight="1">
      <c r="B330" s="175"/>
      <c r="C330" s="170"/>
      <c r="D330" s="193" t="s">
        <v>1182</v>
      </c>
      <c r="E330" s="194"/>
      <c r="F330" s="195"/>
      <c r="G330" s="195"/>
      <c r="H330" s="196">
        <f>SUM(H315:H329)</f>
        <v>403830.52113446401</v>
      </c>
    </row>
    <row r="331" spans="2:8" s="134" customFormat="1" ht="15" customHeight="1">
      <c r="B331" s="169" t="s">
        <v>560</v>
      </c>
      <c r="C331" s="169"/>
      <c r="D331" s="187" t="s">
        <v>561</v>
      </c>
      <c r="E331" s="187"/>
      <c r="F331" s="187"/>
      <c r="G331" s="187"/>
      <c r="H331" s="190" t="s">
        <v>1154</v>
      </c>
    </row>
    <row r="332" spans="2:8" s="1" customFormat="1" ht="25.5">
      <c r="B332" s="175" t="s">
        <v>2447</v>
      </c>
      <c r="C332" s="170" t="s">
        <v>2188</v>
      </c>
      <c r="D332" s="3" t="s">
        <v>562</v>
      </c>
      <c r="E332" s="4" t="s">
        <v>24</v>
      </c>
      <c r="F332" s="5" t="s">
        <v>563</v>
      </c>
      <c r="G332" s="432">
        <v>40.01</v>
      </c>
      <c r="H332" s="8">
        <f t="shared" si="28"/>
        <v>1932.4829999999997</v>
      </c>
    </row>
    <row r="333" spans="2:8" s="1" customFormat="1" ht="25.5">
      <c r="B333" s="175" t="s">
        <v>2448</v>
      </c>
      <c r="C333" s="170" t="s">
        <v>2189</v>
      </c>
      <c r="D333" s="3" t="s">
        <v>564</v>
      </c>
      <c r="E333" s="4" t="s">
        <v>24</v>
      </c>
      <c r="F333" s="5" t="s">
        <v>73</v>
      </c>
      <c r="G333" s="432">
        <v>610.29</v>
      </c>
      <c r="H333" s="8">
        <f t="shared" si="28"/>
        <v>1391.4611999999997</v>
      </c>
    </row>
    <row r="334" spans="2:8" s="1" customFormat="1" ht="25.5">
      <c r="B334" s="175" t="s">
        <v>2449</v>
      </c>
      <c r="C334" s="170" t="s">
        <v>2190</v>
      </c>
      <c r="D334" s="3" t="s">
        <v>565</v>
      </c>
      <c r="E334" s="4" t="s">
        <v>24</v>
      </c>
      <c r="F334" s="5" t="s">
        <v>566</v>
      </c>
      <c r="G334" s="432">
        <v>48.31</v>
      </c>
      <c r="H334" s="8">
        <f t="shared" si="28"/>
        <v>1478.2860000000001</v>
      </c>
    </row>
    <row r="335" spans="2:8" s="134" customFormat="1" ht="15" customHeight="1">
      <c r="B335" s="175"/>
      <c r="C335" s="138"/>
      <c r="D335" s="193" t="s">
        <v>1183</v>
      </c>
      <c r="E335" s="194"/>
      <c r="F335" s="195"/>
      <c r="G335" s="195"/>
      <c r="H335" s="196">
        <f>SUM(H332:H334)</f>
        <v>4802.2302</v>
      </c>
    </row>
    <row r="336" spans="2:8" s="134" customFormat="1" ht="20.100000000000001" customHeight="1">
      <c r="B336" s="172"/>
      <c r="C336" s="178"/>
      <c r="D336" s="179" t="s">
        <v>2790</v>
      </c>
      <c r="E336" s="180"/>
      <c r="F336" s="181"/>
      <c r="G336" s="181"/>
      <c r="H336" s="182">
        <f>H178+H217+H223+H231+H237+H243+H251+H255+H266+H269+H283+H292+H301+H306+H312+H330+H335</f>
        <v>9573601.3465235177</v>
      </c>
    </row>
    <row r="337" spans="2:8" s="134" customFormat="1" ht="20.100000000000001" customHeight="1">
      <c r="B337" s="176" t="s">
        <v>567</v>
      </c>
      <c r="C337" s="176"/>
      <c r="D337" s="204" t="s">
        <v>568</v>
      </c>
      <c r="E337" s="204"/>
      <c r="F337" s="204"/>
      <c r="G337" s="204"/>
      <c r="H337" s="205" t="s">
        <v>1154</v>
      </c>
    </row>
    <row r="338" spans="2:8" s="134" customFormat="1" ht="15" customHeight="1">
      <c r="B338" s="163" t="s">
        <v>569</v>
      </c>
      <c r="C338" s="163"/>
      <c r="D338" s="164" t="s">
        <v>570</v>
      </c>
      <c r="E338" s="164"/>
      <c r="F338" s="164"/>
      <c r="G338" s="164"/>
      <c r="H338" s="198" t="s">
        <v>1154</v>
      </c>
    </row>
    <row r="339" spans="2:8" s="134" customFormat="1" ht="15" customHeight="1">
      <c r="B339" s="169" t="s">
        <v>571</v>
      </c>
      <c r="C339" s="169"/>
      <c r="D339" s="187" t="s">
        <v>572</v>
      </c>
      <c r="E339" s="187"/>
      <c r="F339" s="187"/>
      <c r="G339" s="187"/>
      <c r="H339" s="190" t="s">
        <v>1154</v>
      </c>
    </row>
    <row r="340" spans="2:8" s="1" customFormat="1" ht="25.5" customHeight="1">
      <c r="B340" s="175" t="s">
        <v>2450</v>
      </c>
      <c r="C340" s="170" t="s">
        <v>573</v>
      </c>
      <c r="D340" s="3" t="s">
        <v>574</v>
      </c>
      <c r="E340" s="4" t="s">
        <v>37</v>
      </c>
      <c r="F340" s="5" t="s">
        <v>575</v>
      </c>
      <c r="G340" s="5">
        <v>40.31</v>
      </c>
      <c r="H340" s="8">
        <f t="shared" ref="H340:H352" si="29">F340*G340</f>
        <v>362.79</v>
      </c>
    </row>
    <row r="341" spans="2:8" s="1" customFormat="1" ht="38.25">
      <c r="B341" s="175" t="s">
        <v>2451</v>
      </c>
      <c r="C341" s="170" t="s">
        <v>576</v>
      </c>
      <c r="D341" s="3" t="s">
        <v>577</v>
      </c>
      <c r="E341" s="4" t="s">
        <v>37</v>
      </c>
      <c r="F341" s="5" t="s">
        <v>367</v>
      </c>
      <c r="G341" s="5">
        <v>66.900000000000006</v>
      </c>
      <c r="H341" s="8">
        <f t="shared" si="29"/>
        <v>133.80000000000001</v>
      </c>
    </row>
    <row r="342" spans="2:8" s="1" customFormat="1" ht="53.25" customHeight="1">
      <c r="B342" s="175" t="s">
        <v>2452</v>
      </c>
      <c r="C342" s="170" t="s">
        <v>578</v>
      </c>
      <c r="D342" s="3" t="s">
        <v>579</v>
      </c>
      <c r="E342" s="4" t="s">
        <v>15</v>
      </c>
      <c r="F342" s="5" t="s">
        <v>580</v>
      </c>
      <c r="G342" s="5">
        <v>73.64</v>
      </c>
      <c r="H342" s="8">
        <f t="shared" si="29"/>
        <v>883.68000000000006</v>
      </c>
    </row>
    <row r="343" spans="2:8" s="1" customFormat="1" ht="49.5" customHeight="1">
      <c r="B343" s="175" t="s">
        <v>2453</v>
      </c>
      <c r="C343" s="170" t="s">
        <v>581</v>
      </c>
      <c r="D343" s="3" t="s">
        <v>582</v>
      </c>
      <c r="E343" s="4" t="s">
        <v>15</v>
      </c>
      <c r="F343" s="5" t="s">
        <v>583</v>
      </c>
      <c r="G343" s="5">
        <v>103.24</v>
      </c>
      <c r="H343" s="8">
        <f t="shared" si="29"/>
        <v>619.43999999999994</v>
      </c>
    </row>
    <row r="344" spans="2:8" s="1" customFormat="1" ht="37.5" customHeight="1">
      <c r="B344" s="175" t="s">
        <v>2454</v>
      </c>
      <c r="C344" s="170" t="s">
        <v>584</v>
      </c>
      <c r="D344" s="3" t="s">
        <v>585</v>
      </c>
      <c r="E344" s="4" t="s">
        <v>37</v>
      </c>
      <c r="F344" s="5" t="s">
        <v>516</v>
      </c>
      <c r="G344" s="5">
        <v>50.76</v>
      </c>
      <c r="H344" s="8">
        <f t="shared" si="29"/>
        <v>1015.1999999999999</v>
      </c>
    </row>
    <row r="345" spans="2:8" s="1" customFormat="1" ht="38.25" customHeight="1">
      <c r="B345" s="175" t="s">
        <v>2455</v>
      </c>
      <c r="C345" s="170" t="s">
        <v>586</v>
      </c>
      <c r="D345" s="3" t="s">
        <v>587</v>
      </c>
      <c r="E345" s="4" t="s">
        <v>37</v>
      </c>
      <c r="F345" s="5" t="s">
        <v>588</v>
      </c>
      <c r="G345" s="5">
        <v>97.79</v>
      </c>
      <c r="H345" s="8">
        <f t="shared" si="29"/>
        <v>488.95000000000005</v>
      </c>
    </row>
    <row r="346" spans="2:8" s="1" customFormat="1" ht="40.5" customHeight="1">
      <c r="B346" s="175" t="s">
        <v>2456</v>
      </c>
      <c r="C346" s="170" t="s">
        <v>589</v>
      </c>
      <c r="D346" s="3" t="s">
        <v>590</v>
      </c>
      <c r="E346" s="4" t="s">
        <v>37</v>
      </c>
      <c r="F346" s="5" t="s">
        <v>367</v>
      </c>
      <c r="G346" s="5">
        <v>123.9</v>
      </c>
      <c r="H346" s="8">
        <f t="shared" si="29"/>
        <v>247.8</v>
      </c>
    </row>
    <row r="347" spans="2:8" s="1" customFormat="1" ht="38.25" customHeight="1">
      <c r="B347" s="175" t="s">
        <v>2457</v>
      </c>
      <c r="C347" s="170" t="s">
        <v>591</v>
      </c>
      <c r="D347" s="3" t="s">
        <v>592</v>
      </c>
      <c r="E347" s="4" t="s">
        <v>37</v>
      </c>
      <c r="F347" s="5" t="s">
        <v>593</v>
      </c>
      <c r="G347" s="5">
        <v>33.549999999999997</v>
      </c>
      <c r="H347" s="8">
        <f t="shared" si="29"/>
        <v>234.84999999999997</v>
      </c>
    </row>
    <row r="348" spans="2:8" s="1" customFormat="1" ht="38.25">
      <c r="B348" s="175" t="s">
        <v>2458</v>
      </c>
      <c r="C348" s="170" t="s">
        <v>594</v>
      </c>
      <c r="D348" s="3" t="s">
        <v>595</v>
      </c>
      <c r="E348" s="4" t="s">
        <v>37</v>
      </c>
      <c r="F348" s="5" t="s">
        <v>367</v>
      </c>
      <c r="G348" s="5">
        <v>709.94</v>
      </c>
      <c r="H348" s="8">
        <f t="shared" si="29"/>
        <v>1419.88</v>
      </c>
    </row>
    <row r="349" spans="2:8" s="1" customFormat="1" ht="38.25">
      <c r="B349" s="175" t="s">
        <v>2459</v>
      </c>
      <c r="C349" s="170" t="s">
        <v>596</v>
      </c>
      <c r="D349" s="3" t="s">
        <v>597</v>
      </c>
      <c r="E349" s="4" t="s">
        <v>37</v>
      </c>
      <c r="F349" s="5" t="s">
        <v>367</v>
      </c>
      <c r="G349" s="5">
        <v>1235.08</v>
      </c>
      <c r="H349" s="8">
        <f t="shared" si="29"/>
        <v>2470.16</v>
      </c>
    </row>
    <row r="350" spans="2:8" s="1" customFormat="1" ht="52.5" customHeight="1">
      <c r="B350" s="175" t="s">
        <v>2460</v>
      </c>
      <c r="C350" s="170" t="s">
        <v>598</v>
      </c>
      <c r="D350" s="3" t="s">
        <v>599</v>
      </c>
      <c r="E350" s="4" t="s">
        <v>37</v>
      </c>
      <c r="F350" s="5" t="s">
        <v>358</v>
      </c>
      <c r="G350" s="5">
        <v>163.18</v>
      </c>
      <c r="H350" s="8">
        <f t="shared" si="29"/>
        <v>489.54</v>
      </c>
    </row>
    <row r="351" spans="2:8" s="1" customFormat="1" ht="63.75">
      <c r="B351" s="175" t="s">
        <v>2461</v>
      </c>
      <c r="C351" s="170" t="s">
        <v>600</v>
      </c>
      <c r="D351" s="3" t="s">
        <v>601</v>
      </c>
      <c r="E351" s="4" t="s">
        <v>37</v>
      </c>
      <c r="F351" s="5" t="s">
        <v>38</v>
      </c>
      <c r="G351" s="432">
        <f>69.22*1.2173</f>
        <v>84.261505999999997</v>
      </c>
      <c r="H351" s="8">
        <f t="shared" si="29"/>
        <v>84.261505999999997</v>
      </c>
    </row>
    <row r="352" spans="2:8" s="1" customFormat="1" ht="25.5" customHeight="1">
      <c r="B352" s="175" t="s">
        <v>2462</v>
      </c>
      <c r="C352" s="170" t="s">
        <v>602</v>
      </c>
      <c r="D352" s="3" t="s">
        <v>603</v>
      </c>
      <c r="E352" s="4" t="s">
        <v>37</v>
      </c>
      <c r="F352" s="5" t="s">
        <v>367</v>
      </c>
      <c r="G352" s="5">
        <v>71.22</v>
      </c>
      <c r="H352" s="8">
        <f t="shared" si="29"/>
        <v>142.44</v>
      </c>
    </row>
    <row r="353" spans="2:8" s="134" customFormat="1" ht="15" customHeight="1">
      <c r="B353" s="169" t="s">
        <v>604</v>
      </c>
      <c r="C353" s="169"/>
      <c r="D353" s="187" t="s">
        <v>605</v>
      </c>
      <c r="E353" s="187"/>
      <c r="F353" s="187"/>
      <c r="G353" s="187"/>
      <c r="H353" s="190" t="s">
        <v>1154</v>
      </c>
    </row>
    <row r="354" spans="2:8" s="1" customFormat="1" ht="25.5">
      <c r="B354" s="175" t="s">
        <v>2463</v>
      </c>
      <c r="C354" s="170" t="s">
        <v>2049</v>
      </c>
      <c r="D354" s="136" t="s">
        <v>606</v>
      </c>
      <c r="E354" s="4" t="s">
        <v>37</v>
      </c>
      <c r="F354" s="5" t="s">
        <v>607</v>
      </c>
      <c r="G354" s="5">
        <f>CPU!H927</f>
        <v>16.61201599631158</v>
      </c>
      <c r="H354" s="8">
        <f t="shared" ref="H354:H414" si="30">F354*G354</f>
        <v>2491.8023994467371</v>
      </c>
    </row>
    <row r="355" spans="2:8" s="1" customFormat="1" ht="25.5">
      <c r="B355" s="175" t="s">
        <v>2464</v>
      </c>
      <c r="C355" s="170" t="s">
        <v>2050</v>
      </c>
      <c r="D355" s="136" t="s">
        <v>608</v>
      </c>
      <c r="E355" s="4" t="s">
        <v>37</v>
      </c>
      <c r="F355" s="5" t="s">
        <v>583</v>
      </c>
      <c r="G355" s="5">
        <f>CPU!H935</f>
        <v>7.0914957996835017</v>
      </c>
      <c r="H355" s="8">
        <f t="shared" si="30"/>
        <v>42.548974798101014</v>
      </c>
    </row>
    <row r="356" spans="2:8" s="1" customFormat="1" ht="25.5">
      <c r="B356" s="175" t="s">
        <v>2465</v>
      </c>
      <c r="C356" s="170" t="s">
        <v>2051</v>
      </c>
      <c r="D356" s="136" t="s">
        <v>609</v>
      </c>
      <c r="E356" s="4" t="s">
        <v>37</v>
      </c>
      <c r="F356" s="5" t="s">
        <v>583</v>
      </c>
      <c r="G356" s="5">
        <f>CPU!H943</f>
        <v>10.001711799756542</v>
      </c>
      <c r="H356" s="8">
        <f t="shared" si="30"/>
        <v>60.010270798539253</v>
      </c>
    </row>
    <row r="357" spans="2:8" s="1" customFormat="1" ht="25.5">
      <c r="B357" s="175" t="s">
        <v>2466</v>
      </c>
      <c r="C357" s="170" t="s">
        <v>2052</v>
      </c>
      <c r="D357" s="136" t="s">
        <v>610</v>
      </c>
      <c r="E357" s="4" t="s">
        <v>37</v>
      </c>
      <c r="F357" s="5" t="s">
        <v>611</v>
      </c>
      <c r="G357" s="5">
        <f>CPU!H951</f>
        <v>14.486952001144264</v>
      </c>
      <c r="H357" s="8">
        <f t="shared" si="30"/>
        <v>115.89561600915411</v>
      </c>
    </row>
    <row r="358" spans="2:8" s="1" customFormat="1" ht="39" customHeight="1">
      <c r="B358" s="175" t="s">
        <v>2467</v>
      </c>
      <c r="C358" s="170" t="s">
        <v>612</v>
      </c>
      <c r="D358" s="3" t="s">
        <v>613</v>
      </c>
      <c r="E358" s="4" t="s">
        <v>37</v>
      </c>
      <c r="F358" s="5" t="s">
        <v>614</v>
      </c>
      <c r="G358" s="5">
        <v>13.41</v>
      </c>
      <c r="H358" s="8">
        <f t="shared" si="30"/>
        <v>281.61</v>
      </c>
    </row>
    <row r="359" spans="2:8" s="1" customFormat="1" ht="38.25">
      <c r="B359" s="175" t="s">
        <v>2468</v>
      </c>
      <c r="C359" s="170" t="s">
        <v>615</v>
      </c>
      <c r="D359" s="3" t="s">
        <v>616</v>
      </c>
      <c r="E359" s="4" t="s">
        <v>37</v>
      </c>
      <c r="F359" s="5" t="s">
        <v>617</v>
      </c>
      <c r="G359" s="5">
        <v>9.26</v>
      </c>
      <c r="H359" s="8">
        <f t="shared" si="30"/>
        <v>740.8</v>
      </c>
    </row>
    <row r="360" spans="2:8" s="1" customFormat="1" ht="38.25">
      <c r="B360" s="175" t="s">
        <v>2469</v>
      </c>
      <c r="C360" s="170" t="s">
        <v>618</v>
      </c>
      <c r="D360" s="3" t="s">
        <v>619</v>
      </c>
      <c r="E360" s="4" t="s">
        <v>37</v>
      </c>
      <c r="F360" s="5" t="s">
        <v>620</v>
      </c>
      <c r="G360" s="5">
        <v>20.51</v>
      </c>
      <c r="H360" s="8">
        <f t="shared" si="30"/>
        <v>1025.5</v>
      </c>
    </row>
    <row r="361" spans="2:8" s="1" customFormat="1" ht="27.75" customHeight="1">
      <c r="B361" s="175" t="s">
        <v>2470</v>
      </c>
      <c r="C361" s="170" t="s">
        <v>621</v>
      </c>
      <c r="D361" s="3" t="s">
        <v>622</v>
      </c>
      <c r="E361" s="4" t="s">
        <v>15</v>
      </c>
      <c r="F361" s="5" t="s">
        <v>623</v>
      </c>
      <c r="G361" s="5">
        <v>6.23</v>
      </c>
      <c r="H361" s="8">
        <f t="shared" si="30"/>
        <v>3040.2400000000002</v>
      </c>
    </row>
    <row r="362" spans="2:8" s="1" customFormat="1" ht="27.75" customHeight="1">
      <c r="B362" s="175" t="s">
        <v>2471</v>
      </c>
      <c r="C362" s="170" t="s">
        <v>624</v>
      </c>
      <c r="D362" s="3" t="s">
        <v>625</v>
      </c>
      <c r="E362" s="4" t="s">
        <v>15</v>
      </c>
      <c r="F362" s="5" t="s">
        <v>34</v>
      </c>
      <c r="G362" s="5">
        <v>6.43</v>
      </c>
      <c r="H362" s="8">
        <f t="shared" si="30"/>
        <v>115.74</v>
      </c>
    </row>
    <row r="363" spans="2:8" s="1" customFormat="1" ht="25.5" customHeight="1">
      <c r="B363" s="175" t="s">
        <v>2472</v>
      </c>
      <c r="C363" s="170" t="s">
        <v>626</v>
      </c>
      <c r="D363" s="3" t="s">
        <v>627</v>
      </c>
      <c r="E363" s="4" t="s">
        <v>15</v>
      </c>
      <c r="F363" s="5" t="s">
        <v>628</v>
      </c>
      <c r="G363" s="5">
        <v>34.01</v>
      </c>
      <c r="H363" s="8">
        <f t="shared" si="30"/>
        <v>9250.7199999999993</v>
      </c>
    </row>
    <row r="364" spans="2:8" s="1" customFormat="1" ht="27" customHeight="1">
      <c r="B364" s="175" t="s">
        <v>2473</v>
      </c>
      <c r="C364" s="170" t="s">
        <v>629</v>
      </c>
      <c r="D364" s="3" t="s">
        <v>630</v>
      </c>
      <c r="E364" s="4" t="s">
        <v>15</v>
      </c>
      <c r="F364" s="5" t="s">
        <v>631</v>
      </c>
      <c r="G364" s="5">
        <v>19.690000000000001</v>
      </c>
      <c r="H364" s="8">
        <f t="shared" si="30"/>
        <v>2303.73</v>
      </c>
    </row>
    <row r="365" spans="2:8" s="1" customFormat="1" ht="27" customHeight="1">
      <c r="B365" s="175" t="s">
        <v>2474</v>
      </c>
      <c r="C365" s="170" t="s">
        <v>632</v>
      </c>
      <c r="D365" s="3" t="s">
        <v>633</v>
      </c>
      <c r="E365" s="4" t="s">
        <v>15</v>
      </c>
      <c r="F365" s="5" t="s">
        <v>289</v>
      </c>
      <c r="G365" s="5">
        <v>77.27</v>
      </c>
      <c r="H365" s="8">
        <f t="shared" si="30"/>
        <v>1699.9399999999998</v>
      </c>
    </row>
    <row r="366" spans="2:8" s="1" customFormat="1" ht="38.25">
      <c r="B366" s="175" t="s">
        <v>2475</v>
      </c>
      <c r="C366" s="170" t="s">
        <v>634</v>
      </c>
      <c r="D366" s="3" t="s">
        <v>635</v>
      </c>
      <c r="E366" s="4" t="s">
        <v>37</v>
      </c>
      <c r="F366" s="5" t="s">
        <v>607</v>
      </c>
      <c r="G366" s="5">
        <v>8.06</v>
      </c>
      <c r="H366" s="8">
        <f t="shared" si="30"/>
        <v>1209</v>
      </c>
    </row>
    <row r="367" spans="2:8" s="1" customFormat="1" ht="38.25">
      <c r="B367" s="175" t="s">
        <v>2476</v>
      </c>
      <c r="C367" s="170" t="s">
        <v>636</v>
      </c>
      <c r="D367" s="3" t="s">
        <v>637</v>
      </c>
      <c r="E367" s="4" t="s">
        <v>37</v>
      </c>
      <c r="F367" s="5" t="s">
        <v>14</v>
      </c>
      <c r="G367" s="5">
        <v>13.44</v>
      </c>
      <c r="H367" s="8">
        <f t="shared" si="30"/>
        <v>134.4</v>
      </c>
    </row>
    <row r="368" spans="2:8" s="1" customFormat="1" ht="38.25">
      <c r="B368" s="175" t="s">
        <v>2477</v>
      </c>
      <c r="C368" s="170" t="s">
        <v>638</v>
      </c>
      <c r="D368" s="3" t="s">
        <v>639</v>
      </c>
      <c r="E368" s="4" t="s">
        <v>37</v>
      </c>
      <c r="F368" s="5" t="s">
        <v>14</v>
      </c>
      <c r="G368" s="5">
        <v>14.12</v>
      </c>
      <c r="H368" s="8">
        <f t="shared" si="30"/>
        <v>141.19999999999999</v>
      </c>
    </row>
    <row r="369" spans="2:8" s="1" customFormat="1" ht="38.25">
      <c r="B369" s="175" t="s">
        <v>2478</v>
      </c>
      <c r="C369" s="170" t="s">
        <v>640</v>
      </c>
      <c r="D369" s="3" t="s">
        <v>641</v>
      </c>
      <c r="E369" s="4" t="s">
        <v>37</v>
      </c>
      <c r="F369" s="5" t="s">
        <v>14</v>
      </c>
      <c r="G369" s="5">
        <v>21.56</v>
      </c>
      <c r="H369" s="8">
        <f t="shared" si="30"/>
        <v>215.6</v>
      </c>
    </row>
    <row r="370" spans="2:8" s="1" customFormat="1" ht="38.25">
      <c r="B370" s="175" t="s">
        <v>2479</v>
      </c>
      <c r="C370" s="170" t="s">
        <v>642</v>
      </c>
      <c r="D370" s="3" t="s">
        <v>643</v>
      </c>
      <c r="E370" s="4" t="s">
        <v>37</v>
      </c>
      <c r="F370" s="5" t="s">
        <v>14</v>
      </c>
      <c r="G370" s="5">
        <v>18.03</v>
      </c>
      <c r="H370" s="8">
        <f t="shared" si="30"/>
        <v>180.3</v>
      </c>
    </row>
    <row r="371" spans="2:8" s="1" customFormat="1" ht="38.25">
      <c r="B371" s="175" t="s">
        <v>2480</v>
      </c>
      <c r="C371" s="170" t="s">
        <v>644</v>
      </c>
      <c r="D371" s="3" t="s">
        <v>645</v>
      </c>
      <c r="E371" s="4" t="s">
        <v>37</v>
      </c>
      <c r="F371" s="5" t="s">
        <v>516</v>
      </c>
      <c r="G371" s="5">
        <v>24.86</v>
      </c>
      <c r="H371" s="8">
        <f t="shared" si="30"/>
        <v>497.2</v>
      </c>
    </row>
    <row r="372" spans="2:8" s="1" customFormat="1" ht="38.25">
      <c r="B372" s="175" t="s">
        <v>2481</v>
      </c>
      <c r="C372" s="170" t="s">
        <v>647</v>
      </c>
      <c r="D372" s="3" t="s">
        <v>648</v>
      </c>
      <c r="E372" s="4" t="s">
        <v>37</v>
      </c>
      <c r="F372" s="5" t="s">
        <v>588</v>
      </c>
      <c r="G372" s="5">
        <v>52.79</v>
      </c>
      <c r="H372" s="8">
        <f t="shared" si="30"/>
        <v>263.95</v>
      </c>
    </row>
    <row r="373" spans="2:8" s="1" customFormat="1" ht="51">
      <c r="B373" s="175" t="s">
        <v>2482</v>
      </c>
      <c r="C373" s="170" t="s">
        <v>649</v>
      </c>
      <c r="D373" s="3" t="s">
        <v>650</v>
      </c>
      <c r="E373" s="4" t="s">
        <v>37</v>
      </c>
      <c r="F373" s="5" t="s">
        <v>651</v>
      </c>
      <c r="G373" s="5">
        <v>11.35</v>
      </c>
      <c r="H373" s="8">
        <f t="shared" si="30"/>
        <v>1362</v>
      </c>
    </row>
    <row r="374" spans="2:8" s="1" customFormat="1" ht="51">
      <c r="B374" s="175" t="s">
        <v>2483</v>
      </c>
      <c r="C374" s="170" t="s">
        <v>652</v>
      </c>
      <c r="D374" s="3" t="s">
        <v>653</v>
      </c>
      <c r="E374" s="4" t="s">
        <v>37</v>
      </c>
      <c r="F374" s="5" t="s">
        <v>593</v>
      </c>
      <c r="G374" s="5">
        <v>26.51</v>
      </c>
      <c r="H374" s="8">
        <f t="shared" si="30"/>
        <v>185.57000000000002</v>
      </c>
    </row>
    <row r="375" spans="2:8" s="1" customFormat="1" ht="51">
      <c r="B375" s="175" t="s">
        <v>2484</v>
      </c>
      <c r="C375" s="170" t="s">
        <v>654</v>
      </c>
      <c r="D375" s="3" t="s">
        <v>655</v>
      </c>
      <c r="E375" s="4" t="s">
        <v>37</v>
      </c>
      <c r="F375" s="5" t="s">
        <v>611</v>
      </c>
      <c r="G375" s="5">
        <v>27.02</v>
      </c>
      <c r="H375" s="8">
        <f t="shared" si="30"/>
        <v>216.16</v>
      </c>
    </row>
    <row r="376" spans="2:8" s="1" customFormat="1" ht="51">
      <c r="B376" s="175" t="s">
        <v>2485</v>
      </c>
      <c r="C376" s="170" t="s">
        <v>656</v>
      </c>
      <c r="D376" s="3" t="s">
        <v>657</v>
      </c>
      <c r="E376" s="4" t="s">
        <v>37</v>
      </c>
      <c r="F376" s="5" t="s">
        <v>358</v>
      </c>
      <c r="G376" s="5">
        <v>65.5</v>
      </c>
      <c r="H376" s="8">
        <f t="shared" si="30"/>
        <v>196.5</v>
      </c>
    </row>
    <row r="377" spans="2:8" s="1" customFormat="1" ht="15" customHeight="1">
      <c r="B377" s="175"/>
      <c r="C377" s="170"/>
      <c r="D377" s="193" t="s">
        <v>1184</v>
      </c>
      <c r="E377" s="194"/>
      <c r="F377" s="195"/>
      <c r="G377" s="195"/>
      <c r="H377" s="196">
        <f>SUM(H340:H376)</f>
        <v>34363.208767052536</v>
      </c>
    </row>
    <row r="378" spans="2:8" s="1" customFormat="1" ht="15" customHeight="1">
      <c r="B378" s="169" t="s">
        <v>658</v>
      </c>
      <c r="C378" s="169"/>
      <c r="D378" s="187" t="s">
        <v>659</v>
      </c>
      <c r="E378" s="200"/>
      <c r="F378" s="200"/>
      <c r="G378" s="200"/>
      <c r="H378" s="201" t="s">
        <v>1154</v>
      </c>
    </row>
    <row r="379" spans="2:8" s="1" customFormat="1" ht="25.5">
      <c r="B379" s="175" t="s">
        <v>2486</v>
      </c>
      <c r="C379" s="170" t="s">
        <v>660</v>
      </c>
      <c r="D379" s="3" t="s">
        <v>1887</v>
      </c>
      <c r="E379" s="4" t="s">
        <v>37</v>
      </c>
      <c r="F379" s="5" t="s">
        <v>661</v>
      </c>
      <c r="G379" s="5">
        <v>244.5</v>
      </c>
      <c r="H379" s="8">
        <f t="shared" si="30"/>
        <v>11491.5</v>
      </c>
    </row>
    <row r="380" spans="2:8" s="1" customFormat="1" ht="25.5">
      <c r="B380" s="175" t="s">
        <v>2487</v>
      </c>
      <c r="C380" s="170" t="s">
        <v>2828</v>
      </c>
      <c r="D380" s="3" t="s">
        <v>1857</v>
      </c>
      <c r="E380" s="4" t="s">
        <v>37</v>
      </c>
      <c r="F380" s="5" t="s">
        <v>38</v>
      </c>
      <c r="G380" s="432">
        <v>1039.5</v>
      </c>
      <c r="H380" s="8">
        <f t="shared" si="30"/>
        <v>1039.5</v>
      </c>
    </row>
    <row r="381" spans="2:8" s="1" customFormat="1" ht="38.25">
      <c r="B381" s="175" t="s">
        <v>2488</v>
      </c>
      <c r="C381" s="170" t="s">
        <v>662</v>
      </c>
      <c r="D381" s="3" t="s">
        <v>1858</v>
      </c>
      <c r="E381" s="4" t="s">
        <v>663</v>
      </c>
      <c r="F381" s="5" t="s">
        <v>14</v>
      </c>
      <c r="G381" s="432">
        <f>359.38*1.2173</f>
        <v>437.473274</v>
      </c>
      <c r="H381" s="8">
        <f t="shared" si="30"/>
        <v>4374.7327400000004</v>
      </c>
    </row>
    <row r="382" spans="2:8" s="1" customFormat="1" ht="51">
      <c r="B382" s="175" t="s">
        <v>2489</v>
      </c>
      <c r="C382" s="170" t="s">
        <v>2829</v>
      </c>
      <c r="D382" s="3" t="s">
        <v>664</v>
      </c>
      <c r="E382" s="4" t="s">
        <v>37</v>
      </c>
      <c r="F382" s="5" t="s">
        <v>43</v>
      </c>
      <c r="G382" s="5">
        <v>101.52</v>
      </c>
      <c r="H382" s="8">
        <f t="shared" si="30"/>
        <v>3248.64</v>
      </c>
    </row>
    <row r="383" spans="2:8" s="1" customFormat="1" ht="25.5">
      <c r="B383" s="175" t="s">
        <v>2490</v>
      </c>
      <c r="C383" s="170" t="s">
        <v>2830</v>
      </c>
      <c r="D383" s="136" t="s">
        <v>2214</v>
      </c>
      <c r="E383" s="4" t="s">
        <v>37</v>
      </c>
      <c r="F383" s="5" t="s">
        <v>575</v>
      </c>
      <c r="G383" s="5">
        <v>249.25</v>
      </c>
      <c r="H383" s="8">
        <f t="shared" si="30"/>
        <v>2243.25</v>
      </c>
    </row>
    <row r="384" spans="2:8" s="1" customFormat="1" ht="38.25">
      <c r="B384" s="175" t="s">
        <v>2491</v>
      </c>
      <c r="C384" s="170" t="s">
        <v>2191</v>
      </c>
      <c r="D384" s="3" t="s">
        <v>665</v>
      </c>
      <c r="E384" s="4" t="s">
        <v>37</v>
      </c>
      <c r="F384" s="5" t="s">
        <v>575</v>
      </c>
      <c r="G384" s="5">
        <f>CPU!H969</f>
        <v>2732.1831991577201</v>
      </c>
      <c r="H384" s="8">
        <f t="shared" si="30"/>
        <v>24589.648792419481</v>
      </c>
    </row>
    <row r="385" spans="2:8" s="1" customFormat="1" ht="51" customHeight="1">
      <c r="B385" s="175" t="s">
        <v>2492</v>
      </c>
      <c r="C385" s="170" t="s">
        <v>2192</v>
      </c>
      <c r="D385" s="3" t="s">
        <v>666</v>
      </c>
      <c r="E385" s="4" t="s">
        <v>37</v>
      </c>
      <c r="F385" s="5" t="s">
        <v>667</v>
      </c>
      <c r="G385" s="5">
        <f>CPU!H979</f>
        <v>642.20159616996</v>
      </c>
      <c r="H385" s="8">
        <f t="shared" si="30"/>
        <v>8348.6207502094803</v>
      </c>
    </row>
    <row r="386" spans="2:8" s="1" customFormat="1" ht="38.25">
      <c r="B386" s="175" t="s">
        <v>2493</v>
      </c>
      <c r="C386" s="170" t="s">
        <v>668</v>
      </c>
      <c r="D386" s="3" t="s">
        <v>669</v>
      </c>
      <c r="E386" s="4" t="s">
        <v>37</v>
      </c>
      <c r="F386" s="5" t="s">
        <v>289</v>
      </c>
      <c r="G386" s="5">
        <v>102.06</v>
      </c>
      <c r="H386" s="8">
        <f t="shared" si="30"/>
        <v>2245.3200000000002</v>
      </c>
    </row>
    <row r="387" spans="2:8" s="1" customFormat="1" ht="63.75">
      <c r="B387" s="175" t="s">
        <v>2494</v>
      </c>
      <c r="C387" s="170" t="s">
        <v>670</v>
      </c>
      <c r="D387" s="3" t="s">
        <v>671</v>
      </c>
      <c r="E387" s="4" t="s">
        <v>37</v>
      </c>
      <c r="F387" s="5" t="s">
        <v>38</v>
      </c>
      <c r="G387" s="5">
        <v>757.17</v>
      </c>
      <c r="H387" s="8">
        <f t="shared" si="30"/>
        <v>757.17</v>
      </c>
    </row>
    <row r="388" spans="2:8" s="1" customFormat="1" ht="51">
      <c r="B388" s="175" t="s">
        <v>2495</v>
      </c>
      <c r="C388" s="170" t="s">
        <v>672</v>
      </c>
      <c r="D388" s="3" t="s">
        <v>673</v>
      </c>
      <c r="E388" s="4" t="s">
        <v>37</v>
      </c>
      <c r="F388" s="5" t="s">
        <v>674</v>
      </c>
      <c r="G388" s="5">
        <v>505.05</v>
      </c>
      <c r="H388" s="8">
        <f t="shared" si="30"/>
        <v>22727.25</v>
      </c>
    </row>
    <row r="389" spans="2:8" s="1" customFormat="1" ht="51">
      <c r="B389" s="175" t="s">
        <v>2496</v>
      </c>
      <c r="C389" s="170" t="s">
        <v>675</v>
      </c>
      <c r="D389" s="3" t="s">
        <v>676</v>
      </c>
      <c r="E389" s="4" t="s">
        <v>37</v>
      </c>
      <c r="F389" s="5">
        <v>14</v>
      </c>
      <c r="G389" s="5">
        <v>374.79</v>
      </c>
      <c r="H389" s="8">
        <f t="shared" si="30"/>
        <v>5247.06</v>
      </c>
    </row>
    <row r="390" spans="2:8" s="1" customFormat="1" ht="51">
      <c r="B390" s="175" t="s">
        <v>2497</v>
      </c>
      <c r="C390" s="170" t="s">
        <v>677</v>
      </c>
      <c r="D390" s="3" t="s">
        <v>678</v>
      </c>
      <c r="E390" s="4" t="s">
        <v>37</v>
      </c>
      <c r="F390" s="5" t="s">
        <v>28</v>
      </c>
      <c r="G390" s="5">
        <v>338.78</v>
      </c>
      <c r="H390" s="8">
        <f t="shared" si="30"/>
        <v>14906.32</v>
      </c>
    </row>
    <row r="391" spans="2:8" s="1" customFormat="1" ht="63.75">
      <c r="B391" s="175" t="s">
        <v>2498</v>
      </c>
      <c r="C391" s="170" t="s">
        <v>679</v>
      </c>
      <c r="D391" s="3" t="s">
        <v>680</v>
      </c>
      <c r="E391" s="4" t="s">
        <v>37</v>
      </c>
      <c r="F391" s="5" t="s">
        <v>358</v>
      </c>
      <c r="G391" s="5">
        <v>242.73</v>
      </c>
      <c r="H391" s="8">
        <f t="shared" si="30"/>
        <v>728.18999999999994</v>
      </c>
    </row>
    <row r="392" spans="2:8" s="1" customFormat="1" ht="38.25">
      <c r="B392" s="175" t="s">
        <v>2499</v>
      </c>
      <c r="C392" s="170" t="s">
        <v>681</v>
      </c>
      <c r="D392" s="3" t="s">
        <v>682</v>
      </c>
      <c r="E392" s="4" t="s">
        <v>37</v>
      </c>
      <c r="F392" s="5" t="s">
        <v>683</v>
      </c>
      <c r="G392" s="5">
        <v>105.25</v>
      </c>
      <c r="H392" s="8">
        <f t="shared" si="30"/>
        <v>3157.5</v>
      </c>
    </row>
    <row r="393" spans="2:8" s="1" customFormat="1" ht="51">
      <c r="B393" s="175" t="s">
        <v>2500</v>
      </c>
      <c r="C393" s="170" t="s">
        <v>684</v>
      </c>
      <c r="D393" s="3" t="s">
        <v>685</v>
      </c>
      <c r="E393" s="4" t="s">
        <v>37</v>
      </c>
      <c r="F393" s="5" t="s">
        <v>575</v>
      </c>
      <c r="G393" s="5">
        <v>735.84</v>
      </c>
      <c r="H393" s="8">
        <f t="shared" si="30"/>
        <v>6622.56</v>
      </c>
    </row>
    <row r="394" spans="2:8" s="1" customFormat="1" ht="25.5">
      <c r="B394" s="175" t="s">
        <v>2501</v>
      </c>
      <c r="C394" s="170" t="s">
        <v>686</v>
      </c>
      <c r="D394" s="3" t="s">
        <v>687</v>
      </c>
      <c r="E394" s="4" t="s">
        <v>37</v>
      </c>
      <c r="F394" s="5" t="s">
        <v>688</v>
      </c>
      <c r="G394" s="5">
        <v>59.53</v>
      </c>
      <c r="H394" s="8">
        <f t="shared" si="30"/>
        <v>3214.62</v>
      </c>
    </row>
    <row r="395" spans="2:8" s="1" customFormat="1" ht="38.25">
      <c r="B395" s="175" t="s">
        <v>2502</v>
      </c>
      <c r="C395" s="170" t="s">
        <v>689</v>
      </c>
      <c r="D395" s="3" t="s">
        <v>690</v>
      </c>
      <c r="E395" s="4" t="s">
        <v>37</v>
      </c>
      <c r="F395" s="5" t="s">
        <v>43</v>
      </c>
      <c r="G395" s="5">
        <v>49.01</v>
      </c>
      <c r="H395" s="8">
        <f t="shared" si="30"/>
        <v>1568.32</v>
      </c>
    </row>
    <row r="396" spans="2:8" s="134" customFormat="1" ht="15" customHeight="1">
      <c r="B396" s="169" t="s">
        <v>691</v>
      </c>
      <c r="C396" s="169"/>
      <c r="D396" s="187" t="s">
        <v>692</v>
      </c>
      <c r="E396" s="187"/>
      <c r="F396" s="187"/>
      <c r="G396" s="187"/>
      <c r="H396" s="190" t="s">
        <v>1154</v>
      </c>
    </row>
    <row r="397" spans="2:8" s="1" customFormat="1" ht="25.5" customHeight="1">
      <c r="B397" s="175" t="s">
        <v>2503</v>
      </c>
      <c r="C397" s="170" t="s">
        <v>2193</v>
      </c>
      <c r="D397" s="136" t="s">
        <v>693</v>
      </c>
      <c r="E397" s="4" t="s">
        <v>37</v>
      </c>
      <c r="F397" s="5" t="s">
        <v>367</v>
      </c>
      <c r="G397" s="5">
        <f>CPU!H985</f>
        <v>2192.3537922700098</v>
      </c>
      <c r="H397" s="8">
        <f t="shared" si="30"/>
        <v>4384.7075845400195</v>
      </c>
    </row>
    <row r="398" spans="2:8" s="1" customFormat="1" ht="15.75" customHeight="1">
      <c r="B398" s="175" t="s">
        <v>2504</v>
      </c>
      <c r="C398" s="170" t="s">
        <v>2215</v>
      </c>
      <c r="D398" s="136" t="s">
        <v>694</v>
      </c>
      <c r="E398" s="4" t="s">
        <v>37</v>
      </c>
      <c r="F398" s="5" t="s">
        <v>367</v>
      </c>
      <c r="G398" s="5">
        <v>85.13</v>
      </c>
      <c r="H398" s="8">
        <f t="shared" si="30"/>
        <v>170.26</v>
      </c>
    </row>
    <row r="399" spans="2:8" s="1" customFormat="1" ht="15" customHeight="1">
      <c r="B399" s="175"/>
      <c r="C399" s="170"/>
      <c r="D399" s="193" t="s">
        <v>1185</v>
      </c>
      <c r="E399" s="194"/>
      <c r="F399" s="195"/>
      <c r="G399" s="195"/>
      <c r="H399" s="196">
        <f>SUM(H379:H398)</f>
        <v>121065.169867169</v>
      </c>
    </row>
    <row r="400" spans="2:8" s="134" customFormat="1" ht="15" customHeight="1">
      <c r="B400" s="163" t="s">
        <v>695</v>
      </c>
      <c r="C400" s="163"/>
      <c r="D400" s="164" t="s">
        <v>696</v>
      </c>
      <c r="E400" s="164"/>
      <c r="F400" s="164"/>
      <c r="G400" s="164"/>
      <c r="H400" s="198" t="s">
        <v>1154</v>
      </c>
    </row>
    <row r="401" spans="2:8" s="134" customFormat="1" ht="15" customHeight="1">
      <c r="B401" s="169" t="s">
        <v>697</v>
      </c>
      <c r="C401" s="169"/>
      <c r="D401" s="187" t="s">
        <v>698</v>
      </c>
      <c r="E401" s="187"/>
      <c r="F401" s="187"/>
      <c r="G401" s="187"/>
      <c r="H401" s="190" t="s">
        <v>1154</v>
      </c>
    </row>
    <row r="402" spans="2:8" s="1" customFormat="1" ht="38.25">
      <c r="B402" s="175" t="s">
        <v>2505</v>
      </c>
      <c r="C402" s="170" t="s">
        <v>2194</v>
      </c>
      <c r="D402" s="3" t="s">
        <v>699</v>
      </c>
      <c r="E402" s="4" t="s">
        <v>24</v>
      </c>
      <c r="F402" s="5" t="s">
        <v>700</v>
      </c>
      <c r="G402" s="5">
        <f>CPU!H993</f>
        <v>22.484903649589999</v>
      </c>
      <c r="H402" s="8">
        <f t="shared" si="30"/>
        <v>1641.3979664200699</v>
      </c>
    </row>
    <row r="403" spans="2:8" s="1" customFormat="1" ht="25.5" customHeight="1">
      <c r="B403" s="175" t="s">
        <v>2506</v>
      </c>
      <c r="C403" s="170" t="s">
        <v>2063</v>
      </c>
      <c r="D403" s="136" t="s">
        <v>701</v>
      </c>
      <c r="E403" s="4" t="s">
        <v>37</v>
      </c>
      <c r="F403" s="5" t="s">
        <v>588</v>
      </c>
      <c r="G403" s="5">
        <f>CPU!H999</f>
        <v>41.120000000000005</v>
      </c>
      <c r="H403" s="8">
        <f t="shared" si="30"/>
        <v>205.60000000000002</v>
      </c>
    </row>
    <row r="404" spans="2:8" s="1" customFormat="1" ht="25.5" customHeight="1">
      <c r="B404" s="175" t="s">
        <v>2507</v>
      </c>
      <c r="C404" s="170" t="s">
        <v>2064</v>
      </c>
      <c r="D404" s="136" t="s">
        <v>702</v>
      </c>
      <c r="E404" s="4" t="s">
        <v>37</v>
      </c>
      <c r="F404" s="5" t="s">
        <v>703</v>
      </c>
      <c r="G404" s="5">
        <f>CPU!H1005</f>
        <v>47.24</v>
      </c>
      <c r="H404" s="8">
        <f t="shared" si="30"/>
        <v>2928.88</v>
      </c>
    </row>
    <row r="405" spans="2:8" s="1" customFormat="1" ht="38.25">
      <c r="B405" s="175" t="s">
        <v>2508</v>
      </c>
      <c r="C405" s="170" t="s">
        <v>2216</v>
      </c>
      <c r="D405" s="3" t="s">
        <v>2220</v>
      </c>
      <c r="E405" s="4" t="s">
        <v>15</v>
      </c>
      <c r="F405" s="5" t="s">
        <v>704</v>
      </c>
      <c r="G405" s="5">
        <v>47.62</v>
      </c>
      <c r="H405" s="8">
        <f t="shared" si="30"/>
        <v>10952.599999999999</v>
      </c>
    </row>
    <row r="406" spans="2:8" s="1" customFormat="1" ht="38.25">
      <c r="B406" s="175" t="s">
        <v>2509</v>
      </c>
      <c r="C406" s="170" t="s">
        <v>2217</v>
      </c>
      <c r="D406" s="3" t="s">
        <v>2221</v>
      </c>
      <c r="E406" s="4" t="s">
        <v>15</v>
      </c>
      <c r="F406" s="5" t="s">
        <v>705</v>
      </c>
      <c r="G406" s="5">
        <v>99.54</v>
      </c>
      <c r="H406" s="8">
        <f t="shared" si="30"/>
        <v>29961.54</v>
      </c>
    </row>
    <row r="407" spans="2:8" s="1" customFormat="1" ht="38.25">
      <c r="B407" s="175" t="s">
        <v>2510</v>
      </c>
      <c r="C407" s="170" t="s">
        <v>2218</v>
      </c>
      <c r="D407" s="3" t="s">
        <v>2222</v>
      </c>
      <c r="E407" s="4" t="s">
        <v>15</v>
      </c>
      <c r="F407" s="5" t="s">
        <v>706</v>
      </c>
      <c r="G407" s="5">
        <v>148.06</v>
      </c>
      <c r="H407" s="8">
        <f t="shared" si="30"/>
        <v>6070.46</v>
      </c>
    </row>
    <row r="408" spans="2:8" s="1" customFormat="1" ht="38.25">
      <c r="B408" s="175" t="s">
        <v>2511</v>
      </c>
      <c r="C408" s="170" t="s">
        <v>2219</v>
      </c>
      <c r="D408" s="3" t="s">
        <v>2223</v>
      </c>
      <c r="E408" s="4" t="s">
        <v>15</v>
      </c>
      <c r="F408" s="5" t="s">
        <v>707</v>
      </c>
      <c r="G408" s="5">
        <v>249.91</v>
      </c>
      <c r="H408" s="8">
        <f t="shared" si="30"/>
        <v>51481.46</v>
      </c>
    </row>
    <row r="409" spans="2:8" s="134" customFormat="1" ht="15" customHeight="1">
      <c r="B409" s="169" t="s">
        <v>708</v>
      </c>
      <c r="C409" s="169"/>
      <c r="D409" s="187" t="s">
        <v>709</v>
      </c>
      <c r="E409" s="187"/>
      <c r="F409" s="187"/>
      <c r="G409" s="187"/>
      <c r="H409" s="190" t="s">
        <v>1154</v>
      </c>
    </row>
    <row r="410" spans="2:8" s="1" customFormat="1" ht="51">
      <c r="B410" s="175" t="s">
        <v>2512</v>
      </c>
      <c r="C410" s="170" t="s">
        <v>710</v>
      </c>
      <c r="D410" s="3" t="s">
        <v>711</v>
      </c>
      <c r="E410" s="4" t="s">
        <v>37</v>
      </c>
      <c r="F410" s="5" t="s">
        <v>712</v>
      </c>
      <c r="G410" s="5">
        <v>437.18</v>
      </c>
      <c r="H410" s="8">
        <f t="shared" si="30"/>
        <v>8306.42</v>
      </c>
    </row>
    <row r="411" spans="2:8" s="1" customFormat="1" ht="51">
      <c r="B411" s="175" t="s">
        <v>2513</v>
      </c>
      <c r="C411" s="170" t="s">
        <v>713</v>
      </c>
      <c r="D411" s="3" t="s">
        <v>714</v>
      </c>
      <c r="E411" s="4" t="s">
        <v>37</v>
      </c>
      <c r="F411" s="5" t="s">
        <v>715</v>
      </c>
      <c r="G411" s="5">
        <v>739.93</v>
      </c>
      <c r="H411" s="8">
        <f t="shared" si="30"/>
        <v>8139.23</v>
      </c>
    </row>
    <row r="412" spans="2:8" s="134" customFormat="1" ht="15" customHeight="1">
      <c r="B412" s="169" t="s">
        <v>716</v>
      </c>
      <c r="C412" s="169"/>
      <c r="D412" s="187" t="s">
        <v>717</v>
      </c>
      <c r="E412" s="187"/>
      <c r="F412" s="187"/>
      <c r="G412" s="187"/>
      <c r="H412" s="190" t="s">
        <v>1154</v>
      </c>
    </row>
    <row r="413" spans="2:8" s="1" customFormat="1" ht="26.25" customHeight="1">
      <c r="B413" s="175" t="s">
        <v>2514</v>
      </c>
      <c r="C413" s="170" t="s">
        <v>718</v>
      </c>
      <c r="D413" s="3" t="s">
        <v>719</v>
      </c>
      <c r="E413" s="4" t="s">
        <v>75</v>
      </c>
      <c r="F413" s="5" t="s">
        <v>720</v>
      </c>
      <c r="G413" s="5">
        <v>76.7</v>
      </c>
      <c r="H413" s="8">
        <f t="shared" si="30"/>
        <v>17487.600000000002</v>
      </c>
    </row>
    <row r="414" spans="2:8" s="1" customFormat="1" ht="25.5">
      <c r="B414" s="175" t="s">
        <v>2515</v>
      </c>
      <c r="C414" s="170" t="s">
        <v>133</v>
      </c>
      <c r="D414" s="136" t="s">
        <v>134</v>
      </c>
      <c r="E414" s="4" t="s">
        <v>75</v>
      </c>
      <c r="F414" s="5" t="s">
        <v>721</v>
      </c>
      <c r="G414" s="5">
        <v>46.5</v>
      </c>
      <c r="H414" s="8">
        <f t="shared" si="30"/>
        <v>9765</v>
      </c>
    </row>
    <row r="415" spans="2:8" s="1" customFormat="1" ht="24.95" customHeight="1">
      <c r="B415" s="169" t="s">
        <v>2516</v>
      </c>
      <c r="C415" s="169"/>
      <c r="D415" s="200" t="s">
        <v>2724</v>
      </c>
      <c r="E415" s="206"/>
      <c r="F415" s="207"/>
      <c r="G415" s="207"/>
      <c r="H415" s="201"/>
    </row>
    <row r="416" spans="2:8" s="1" customFormat="1" ht="25.5">
      <c r="B416" s="175" t="s">
        <v>2517</v>
      </c>
      <c r="C416" s="170" t="s">
        <v>2065</v>
      </c>
      <c r="D416" s="140" t="s">
        <v>1890</v>
      </c>
      <c r="E416" s="4" t="s">
        <v>15</v>
      </c>
      <c r="F416" s="5">
        <v>185.14</v>
      </c>
      <c r="G416" s="5">
        <f>CPU!H1014</f>
        <v>204.88367600000004</v>
      </c>
      <c r="H416" s="8">
        <f t="shared" ref="H416:H421" si="31">F416*G416</f>
        <v>37932.163774640001</v>
      </c>
    </row>
    <row r="417" spans="2:8" s="1" customFormat="1" ht="25.5">
      <c r="B417" s="175" t="s">
        <v>2518</v>
      </c>
      <c r="C417" s="170" t="s">
        <v>2066</v>
      </c>
      <c r="D417" s="140" t="s">
        <v>1896</v>
      </c>
      <c r="E417" s="4" t="s">
        <v>663</v>
      </c>
      <c r="F417" s="5">
        <v>1</v>
      </c>
      <c r="G417" s="5">
        <f>CPU!H1039</f>
        <v>208395.16085357728</v>
      </c>
      <c r="H417" s="8">
        <f t="shared" si="31"/>
        <v>208395.16085357728</v>
      </c>
    </row>
    <row r="418" spans="2:8" s="1" customFormat="1" ht="25.5">
      <c r="B418" s="175" t="s">
        <v>2519</v>
      </c>
      <c r="C418" s="170" t="s">
        <v>2071</v>
      </c>
      <c r="D418" s="348" t="s">
        <v>1905</v>
      </c>
      <c r="E418" s="4" t="s">
        <v>15</v>
      </c>
      <c r="F418" s="5">
        <v>198.35</v>
      </c>
      <c r="G418" s="5">
        <f>CPU!H1052</f>
        <v>466.62619530000006</v>
      </c>
      <c r="H418" s="8">
        <f t="shared" si="31"/>
        <v>92555.305837755004</v>
      </c>
    </row>
    <row r="419" spans="2:8" s="1" customFormat="1" ht="25.5">
      <c r="B419" s="175" t="s">
        <v>2520</v>
      </c>
      <c r="C419" s="170" t="s">
        <v>2072</v>
      </c>
      <c r="D419" s="140" t="s">
        <v>1909</v>
      </c>
      <c r="E419" s="4" t="s">
        <v>37</v>
      </c>
      <c r="F419" s="5">
        <v>21</v>
      </c>
      <c r="G419" s="5">
        <f>CPU!H1062</f>
        <v>1031.0926706</v>
      </c>
      <c r="H419" s="8">
        <f t="shared" si="31"/>
        <v>21652.946082599999</v>
      </c>
    </row>
    <row r="420" spans="2:8" s="1" customFormat="1" ht="25.5">
      <c r="B420" s="175" t="s">
        <v>2521</v>
      </c>
      <c r="C420" s="170" t="s">
        <v>2075</v>
      </c>
      <c r="D420" s="140" t="s">
        <v>1916</v>
      </c>
      <c r="E420" s="4" t="s">
        <v>15</v>
      </c>
      <c r="F420" s="5">
        <v>26.5</v>
      </c>
      <c r="G420" s="5">
        <f>CPU!H1073</f>
        <v>289.16329999999999</v>
      </c>
      <c r="H420" s="8">
        <f t="shared" si="31"/>
        <v>7662.8274499999998</v>
      </c>
    </row>
    <row r="421" spans="2:8" s="1" customFormat="1" ht="51">
      <c r="B421" s="175" t="s">
        <v>2522</v>
      </c>
      <c r="C421" s="170" t="s">
        <v>2081</v>
      </c>
      <c r="D421" s="140" t="s">
        <v>1921</v>
      </c>
      <c r="E421" s="4" t="s">
        <v>15</v>
      </c>
      <c r="F421" s="5">
        <v>26.5</v>
      </c>
      <c r="G421" s="5">
        <f>CPU!H1080</f>
        <v>509.88438000000008</v>
      </c>
      <c r="H421" s="8">
        <f t="shared" si="31"/>
        <v>13511.936070000002</v>
      </c>
    </row>
    <row r="422" spans="2:8" s="1" customFormat="1" ht="15" customHeight="1">
      <c r="B422" s="175"/>
      <c r="C422" s="197"/>
      <c r="D422" s="193" t="s">
        <v>1186</v>
      </c>
      <c r="E422" s="194"/>
      <c r="F422" s="195"/>
      <c r="G422" s="195"/>
      <c r="H422" s="196">
        <f>SUM(H402:H421)</f>
        <v>528650.52803499228</v>
      </c>
    </row>
    <row r="423" spans="2:8" s="134" customFormat="1" ht="15" customHeight="1">
      <c r="B423" s="163" t="s">
        <v>722</v>
      </c>
      <c r="C423" s="163"/>
      <c r="D423" s="164" t="s">
        <v>723</v>
      </c>
      <c r="E423" s="164"/>
      <c r="F423" s="164"/>
      <c r="G423" s="164"/>
      <c r="H423" s="198" t="s">
        <v>1154</v>
      </c>
    </row>
    <row r="424" spans="2:8" s="134" customFormat="1" ht="15" customHeight="1">
      <c r="B424" s="169" t="s">
        <v>724</v>
      </c>
      <c r="C424" s="169"/>
      <c r="D424" s="187" t="s">
        <v>698</v>
      </c>
      <c r="E424" s="187"/>
      <c r="F424" s="187"/>
      <c r="G424" s="187"/>
      <c r="H424" s="190" t="s">
        <v>1154</v>
      </c>
    </row>
    <row r="425" spans="2:8" s="1" customFormat="1" ht="25.5">
      <c r="B425" s="175" t="s">
        <v>2523</v>
      </c>
      <c r="C425" s="170" t="s">
        <v>2082</v>
      </c>
      <c r="D425" s="3" t="s">
        <v>725</v>
      </c>
      <c r="E425" s="4" t="s">
        <v>37</v>
      </c>
      <c r="F425" s="5" t="s">
        <v>367</v>
      </c>
      <c r="G425" s="5">
        <f>CPU!H1088</f>
        <v>76.278033820852485</v>
      </c>
      <c r="H425" s="8">
        <f t="shared" ref="H425:H446" si="32">F425*G425</f>
        <v>152.55606764170497</v>
      </c>
    </row>
    <row r="426" spans="2:8" s="1" customFormat="1" ht="25.5">
      <c r="B426" s="175" t="s">
        <v>2524</v>
      </c>
      <c r="C426" s="170" t="s">
        <v>2195</v>
      </c>
      <c r="D426" s="3" t="s">
        <v>726</v>
      </c>
      <c r="E426" s="4" t="s">
        <v>37</v>
      </c>
      <c r="F426" s="5" t="s">
        <v>611</v>
      </c>
      <c r="G426" s="5">
        <f>CPU!H1096</f>
        <v>18.816599999999998</v>
      </c>
      <c r="H426" s="8">
        <f t="shared" si="32"/>
        <v>150.53279999999998</v>
      </c>
    </row>
    <row r="427" spans="2:8" s="1" customFormat="1" ht="38.25">
      <c r="B427" s="175" t="s">
        <v>2525</v>
      </c>
      <c r="C427" s="170" t="s">
        <v>727</v>
      </c>
      <c r="D427" s="3" t="s">
        <v>728</v>
      </c>
      <c r="E427" s="4" t="s">
        <v>37</v>
      </c>
      <c r="F427" s="5" t="s">
        <v>729</v>
      </c>
      <c r="G427" s="5">
        <v>16.82</v>
      </c>
      <c r="H427" s="8">
        <f t="shared" si="32"/>
        <v>1547.44</v>
      </c>
    </row>
    <row r="428" spans="2:8" s="1" customFormat="1" ht="38.25">
      <c r="B428" s="175" t="s">
        <v>2526</v>
      </c>
      <c r="C428" s="170" t="s">
        <v>730</v>
      </c>
      <c r="D428" s="3" t="s">
        <v>731</v>
      </c>
      <c r="E428" s="4" t="s">
        <v>37</v>
      </c>
      <c r="F428" s="5" t="s">
        <v>732</v>
      </c>
      <c r="G428" s="5">
        <v>25</v>
      </c>
      <c r="H428" s="8">
        <f t="shared" si="32"/>
        <v>1150</v>
      </c>
    </row>
    <row r="429" spans="2:8" s="1" customFormat="1" ht="38.25">
      <c r="B429" s="175" t="s">
        <v>2527</v>
      </c>
      <c r="C429" s="170" t="s">
        <v>733</v>
      </c>
      <c r="D429" s="3" t="s">
        <v>734</v>
      </c>
      <c r="E429" s="4" t="s">
        <v>37</v>
      </c>
      <c r="F429" s="5" t="s">
        <v>735</v>
      </c>
      <c r="G429" s="5">
        <v>35.5</v>
      </c>
      <c r="H429" s="8">
        <f t="shared" si="32"/>
        <v>3869.5</v>
      </c>
    </row>
    <row r="430" spans="2:8" s="1" customFormat="1" ht="38.25">
      <c r="B430" s="175" t="s">
        <v>2528</v>
      </c>
      <c r="C430" s="170" t="s">
        <v>736</v>
      </c>
      <c r="D430" s="3" t="s">
        <v>737</v>
      </c>
      <c r="E430" s="4" t="s">
        <v>37</v>
      </c>
      <c r="F430" s="5" t="s">
        <v>14</v>
      </c>
      <c r="G430" s="5">
        <v>14.51</v>
      </c>
      <c r="H430" s="8">
        <f t="shared" si="32"/>
        <v>145.1</v>
      </c>
    </row>
    <row r="431" spans="2:8" s="1" customFormat="1" ht="38.25" customHeight="1">
      <c r="B431" s="175" t="s">
        <v>2529</v>
      </c>
      <c r="C431" s="170" t="s">
        <v>738</v>
      </c>
      <c r="D431" s="3" t="s">
        <v>739</v>
      </c>
      <c r="E431" s="4" t="s">
        <v>37</v>
      </c>
      <c r="F431" s="5" t="s">
        <v>38</v>
      </c>
      <c r="G431" s="5">
        <v>63.88</v>
      </c>
      <c r="H431" s="8">
        <f t="shared" si="32"/>
        <v>63.88</v>
      </c>
    </row>
    <row r="432" spans="2:8" s="1" customFormat="1" ht="39" customHeight="1">
      <c r="B432" s="175" t="s">
        <v>2530</v>
      </c>
      <c r="C432" s="170" t="s">
        <v>740</v>
      </c>
      <c r="D432" s="3" t="s">
        <v>741</v>
      </c>
      <c r="E432" s="4" t="s">
        <v>37</v>
      </c>
      <c r="F432" s="5" t="s">
        <v>742</v>
      </c>
      <c r="G432" s="5">
        <v>96.53</v>
      </c>
      <c r="H432" s="8">
        <f t="shared" si="32"/>
        <v>3668.14</v>
      </c>
    </row>
    <row r="433" spans="2:8" s="1" customFormat="1" ht="37.5" customHeight="1">
      <c r="B433" s="175" t="s">
        <v>2531</v>
      </c>
      <c r="C433" s="170" t="s">
        <v>743</v>
      </c>
      <c r="D433" s="3" t="s">
        <v>744</v>
      </c>
      <c r="E433" s="4" t="s">
        <v>37</v>
      </c>
      <c r="F433" s="5" t="s">
        <v>358</v>
      </c>
      <c r="G433" s="5">
        <v>92.7</v>
      </c>
      <c r="H433" s="8">
        <f t="shared" si="32"/>
        <v>278.10000000000002</v>
      </c>
    </row>
    <row r="434" spans="2:8" s="1" customFormat="1" ht="38.25">
      <c r="B434" s="175" t="s">
        <v>2532</v>
      </c>
      <c r="C434" s="170" t="s">
        <v>745</v>
      </c>
      <c r="D434" s="3" t="s">
        <v>746</v>
      </c>
      <c r="E434" s="4" t="s">
        <v>37</v>
      </c>
      <c r="F434" s="5" t="s">
        <v>614</v>
      </c>
      <c r="G434" s="5">
        <v>95.03</v>
      </c>
      <c r="H434" s="8">
        <f t="shared" si="32"/>
        <v>1995.63</v>
      </c>
    </row>
    <row r="435" spans="2:8" s="1" customFormat="1" ht="38.25">
      <c r="B435" s="175" t="s">
        <v>2533</v>
      </c>
      <c r="C435" s="170" t="s">
        <v>747</v>
      </c>
      <c r="D435" s="3" t="s">
        <v>748</v>
      </c>
      <c r="E435" s="4" t="s">
        <v>15</v>
      </c>
      <c r="F435" s="5" t="s">
        <v>749</v>
      </c>
      <c r="G435" s="5">
        <v>20.27</v>
      </c>
      <c r="H435" s="8">
        <f t="shared" si="32"/>
        <v>3547.25</v>
      </c>
    </row>
    <row r="436" spans="2:8" s="1" customFormat="1" ht="39" customHeight="1">
      <c r="B436" s="175" t="s">
        <v>2534</v>
      </c>
      <c r="C436" s="170" t="s">
        <v>750</v>
      </c>
      <c r="D436" s="3" t="s">
        <v>751</v>
      </c>
      <c r="E436" s="4" t="s">
        <v>15</v>
      </c>
      <c r="F436" s="5" t="s">
        <v>453</v>
      </c>
      <c r="G436" s="5">
        <v>26.25</v>
      </c>
      <c r="H436" s="8">
        <f t="shared" si="32"/>
        <v>11025</v>
      </c>
    </row>
    <row r="437" spans="2:8" s="1" customFormat="1" ht="39" customHeight="1">
      <c r="B437" s="175" t="s">
        <v>2535</v>
      </c>
      <c r="C437" s="170" t="s">
        <v>752</v>
      </c>
      <c r="D437" s="3" t="s">
        <v>753</v>
      </c>
      <c r="E437" s="4" t="s">
        <v>15</v>
      </c>
      <c r="F437" s="5" t="s">
        <v>754</v>
      </c>
      <c r="G437" s="5">
        <v>34.36</v>
      </c>
      <c r="H437" s="8">
        <f t="shared" si="32"/>
        <v>5497.6</v>
      </c>
    </row>
    <row r="438" spans="2:8" s="1" customFormat="1" ht="39.75" customHeight="1">
      <c r="B438" s="175" t="s">
        <v>2536</v>
      </c>
      <c r="C438" s="170" t="s">
        <v>755</v>
      </c>
      <c r="D438" s="3" t="s">
        <v>756</v>
      </c>
      <c r="E438" s="4" t="s">
        <v>15</v>
      </c>
      <c r="F438" s="5" t="s">
        <v>757</v>
      </c>
      <c r="G438" s="5">
        <v>39.42</v>
      </c>
      <c r="H438" s="8">
        <f t="shared" si="32"/>
        <v>31733.100000000002</v>
      </c>
    </row>
    <row r="439" spans="2:8" s="1" customFormat="1" ht="51">
      <c r="B439" s="175" t="s">
        <v>2537</v>
      </c>
      <c r="C439" s="170" t="s">
        <v>758</v>
      </c>
      <c r="D439" s="3" t="s">
        <v>759</v>
      </c>
      <c r="E439" s="4" t="s">
        <v>37</v>
      </c>
      <c r="F439" s="5" t="s">
        <v>760</v>
      </c>
      <c r="G439" s="5">
        <v>12.26</v>
      </c>
      <c r="H439" s="8">
        <f t="shared" si="32"/>
        <v>2108.7199999999998</v>
      </c>
    </row>
    <row r="440" spans="2:8" s="1" customFormat="1" ht="51">
      <c r="B440" s="175" t="s">
        <v>2538</v>
      </c>
      <c r="C440" s="170" t="s">
        <v>761</v>
      </c>
      <c r="D440" s="3" t="s">
        <v>762</v>
      </c>
      <c r="E440" s="4" t="s">
        <v>37</v>
      </c>
      <c r="F440" s="5" t="s">
        <v>25</v>
      </c>
      <c r="G440" s="5">
        <v>9.0399999999999991</v>
      </c>
      <c r="H440" s="8">
        <f t="shared" si="32"/>
        <v>244.07999999999998</v>
      </c>
    </row>
    <row r="441" spans="2:8" s="1" customFormat="1" ht="51">
      <c r="B441" s="175" t="s">
        <v>2539</v>
      </c>
      <c r="C441" s="170" t="s">
        <v>763</v>
      </c>
      <c r="D441" s="3" t="s">
        <v>764</v>
      </c>
      <c r="E441" s="4" t="s">
        <v>37</v>
      </c>
      <c r="F441" s="5" t="s">
        <v>765</v>
      </c>
      <c r="G441" s="5">
        <v>45.71</v>
      </c>
      <c r="H441" s="8">
        <f t="shared" si="32"/>
        <v>5713.75</v>
      </c>
    </row>
    <row r="442" spans="2:8" s="1" customFormat="1" ht="51">
      <c r="B442" s="175" t="s">
        <v>2540</v>
      </c>
      <c r="C442" s="170" t="s">
        <v>766</v>
      </c>
      <c r="D442" s="3" t="s">
        <v>767</v>
      </c>
      <c r="E442" s="4" t="s">
        <v>37</v>
      </c>
      <c r="F442" s="5" t="s">
        <v>523</v>
      </c>
      <c r="G442" s="5">
        <v>9.68</v>
      </c>
      <c r="H442" s="8">
        <f t="shared" si="32"/>
        <v>880.88</v>
      </c>
    </row>
    <row r="443" spans="2:8" s="1" customFormat="1" ht="51">
      <c r="B443" s="175" t="s">
        <v>2541</v>
      </c>
      <c r="C443" s="170" t="s">
        <v>768</v>
      </c>
      <c r="D443" s="3" t="s">
        <v>769</v>
      </c>
      <c r="E443" s="4" t="s">
        <v>37</v>
      </c>
      <c r="F443" s="5" t="s">
        <v>683</v>
      </c>
      <c r="G443" s="5">
        <v>10.45</v>
      </c>
      <c r="H443" s="8">
        <f t="shared" si="32"/>
        <v>313.5</v>
      </c>
    </row>
    <row r="444" spans="2:8" s="1" customFormat="1" ht="51">
      <c r="B444" s="175" t="s">
        <v>2542</v>
      </c>
      <c r="C444" s="170" t="s">
        <v>770</v>
      </c>
      <c r="D444" s="3" t="s">
        <v>771</v>
      </c>
      <c r="E444" s="4" t="s">
        <v>37</v>
      </c>
      <c r="F444" s="5" t="s">
        <v>46</v>
      </c>
      <c r="G444" s="5">
        <v>21.25</v>
      </c>
      <c r="H444" s="8">
        <f t="shared" si="32"/>
        <v>340</v>
      </c>
    </row>
    <row r="445" spans="2:8" s="1" customFormat="1" ht="51">
      <c r="B445" s="175" t="s">
        <v>2543</v>
      </c>
      <c r="C445" s="170" t="s">
        <v>772</v>
      </c>
      <c r="D445" s="3" t="s">
        <v>773</v>
      </c>
      <c r="E445" s="4" t="s">
        <v>37</v>
      </c>
      <c r="F445" s="5" t="s">
        <v>34</v>
      </c>
      <c r="G445" s="5">
        <v>22.34</v>
      </c>
      <c r="H445" s="8">
        <f t="shared" si="32"/>
        <v>402.12</v>
      </c>
    </row>
    <row r="446" spans="2:8" s="1" customFormat="1" ht="51">
      <c r="B446" s="175" t="s">
        <v>2544</v>
      </c>
      <c r="C446" s="170" t="s">
        <v>774</v>
      </c>
      <c r="D446" s="3" t="s">
        <v>775</v>
      </c>
      <c r="E446" s="4" t="s">
        <v>37</v>
      </c>
      <c r="F446" s="5" t="s">
        <v>776</v>
      </c>
      <c r="G446" s="5">
        <v>29.81</v>
      </c>
      <c r="H446" s="8">
        <f t="shared" si="32"/>
        <v>1788.6</v>
      </c>
    </row>
    <row r="447" spans="2:8" s="134" customFormat="1" ht="15" customHeight="1">
      <c r="B447" s="169" t="s">
        <v>777</v>
      </c>
      <c r="C447" s="169"/>
      <c r="D447" s="187" t="s">
        <v>778</v>
      </c>
      <c r="E447" s="187"/>
      <c r="F447" s="187"/>
      <c r="G447" s="187"/>
      <c r="H447" s="188"/>
    </row>
    <row r="448" spans="2:8" s="1" customFormat="1" ht="25.5">
      <c r="B448" s="170" t="s">
        <v>2545</v>
      </c>
      <c r="C448" s="170">
        <v>11315</v>
      </c>
      <c r="D448" s="3" t="s">
        <v>779</v>
      </c>
      <c r="E448" s="4" t="s">
        <v>37</v>
      </c>
      <c r="F448" s="5" t="s">
        <v>311</v>
      </c>
      <c r="G448" s="432">
        <v>150.88999999999999</v>
      </c>
      <c r="H448" s="8">
        <f t="shared" ref="H448:H456" si="33">F448*G448</f>
        <v>3621.3599999999997</v>
      </c>
    </row>
    <row r="449" spans="2:8" s="1" customFormat="1" ht="25.5">
      <c r="B449" s="170" t="s">
        <v>2546</v>
      </c>
      <c r="C449" s="170" t="s">
        <v>2196</v>
      </c>
      <c r="D449" s="136" t="s">
        <v>780</v>
      </c>
      <c r="E449" s="4" t="s">
        <v>37</v>
      </c>
      <c r="F449" s="5" t="s">
        <v>311</v>
      </c>
      <c r="G449" s="5">
        <f>CPU!H1103</f>
        <v>108.7193454941</v>
      </c>
      <c r="H449" s="8">
        <f t="shared" si="33"/>
        <v>2609.2642918583997</v>
      </c>
    </row>
    <row r="450" spans="2:8" s="1" customFormat="1" ht="51">
      <c r="B450" s="170" t="s">
        <v>2547</v>
      </c>
      <c r="C450" s="170" t="s">
        <v>781</v>
      </c>
      <c r="D450" s="3" t="s">
        <v>782</v>
      </c>
      <c r="E450" s="4" t="s">
        <v>37</v>
      </c>
      <c r="F450" s="5" t="s">
        <v>46</v>
      </c>
      <c r="G450" s="5">
        <v>449.91</v>
      </c>
      <c r="H450" s="8">
        <f t="shared" si="33"/>
        <v>7198.56</v>
      </c>
    </row>
    <row r="451" spans="2:8" s="1" customFormat="1" ht="37.5" customHeight="1">
      <c r="B451" s="170" t="s">
        <v>2548</v>
      </c>
      <c r="C451" s="170" t="s">
        <v>783</v>
      </c>
      <c r="D451" s="3" t="s">
        <v>784</v>
      </c>
      <c r="E451" s="4" t="s">
        <v>37</v>
      </c>
      <c r="F451" s="5" t="s">
        <v>611</v>
      </c>
      <c r="G451" s="5">
        <v>764.49</v>
      </c>
      <c r="H451" s="8">
        <f t="shared" si="33"/>
        <v>6115.92</v>
      </c>
    </row>
    <row r="452" spans="2:8" s="1" customFormat="1" ht="38.25">
      <c r="B452" s="170" t="s">
        <v>2549</v>
      </c>
      <c r="C452" s="170" t="s">
        <v>785</v>
      </c>
      <c r="D452" s="3" t="s">
        <v>786</v>
      </c>
      <c r="E452" s="4" t="s">
        <v>37</v>
      </c>
      <c r="F452" s="5" t="s">
        <v>38</v>
      </c>
      <c r="G452" s="5">
        <v>170.45</v>
      </c>
      <c r="H452" s="8">
        <f t="shared" si="33"/>
        <v>170.45</v>
      </c>
    </row>
    <row r="453" spans="2:8" s="1" customFormat="1" ht="51">
      <c r="B453" s="170" t="s">
        <v>2550</v>
      </c>
      <c r="C453" s="170" t="s">
        <v>787</v>
      </c>
      <c r="D453" s="3" t="s">
        <v>788</v>
      </c>
      <c r="E453" s="4" t="s">
        <v>37</v>
      </c>
      <c r="F453" s="5" t="s">
        <v>358</v>
      </c>
      <c r="G453" s="5">
        <v>366.16</v>
      </c>
      <c r="H453" s="8">
        <f t="shared" si="33"/>
        <v>1098.48</v>
      </c>
    </row>
    <row r="454" spans="2:8" s="134" customFormat="1" ht="15" customHeight="1">
      <c r="B454" s="169" t="s">
        <v>789</v>
      </c>
      <c r="C454" s="169"/>
      <c r="D454" s="187" t="s">
        <v>717</v>
      </c>
      <c r="E454" s="187"/>
      <c r="F454" s="187"/>
      <c r="G454" s="187"/>
      <c r="H454" s="190" t="s">
        <v>1154</v>
      </c>
    </row>
    <row r="455" spans="2:8" s="1" customFormat="1" ht="25.5" customHeight="1">
      <c r="B455" s="170" t="s">
        <v>2551</v>
      </c>
      <c r="C455" s="170" t="s">
        <v>718</v>
      </c>
      <c r="D455" s="3" t="s">
        <v>719</v>
      </c>
      <c r="E455" s="4" t="s">
        <v>75</v>
      </c>
      <c r="F455" s="5" t="s">
        <v>790</v>
      </c>
      <c r="G455" s="5">
        <v>99.55</v>
      </c>
      <c r="H455" s="8">
        <f t="shared" si="33"/>
        <v>16724.399999999998</v>
      </c>
    </row>
    <row r="456" spans="2:8" s="1" customFormat="1" ht="25.5">
      <c r="B456" s="170" t="s">
        <v>2552</v>
      </c>
      <c r="C456" s="170" t="s">
        <v>133</v>
      </c>
      <c r="D456" s="136" t="s">
        <v>134</v>
      </c>
      <c r="E456" s="4" t="s">
        <v>75</v>
      </c>
      <c r="F456" s="5" t="s">
        <v>791</v>
      </c>
      <c r="G456" s="5">
        <v>46.5</v>
      </c>
      <c r="H456" s="8">
        <f t="shared" si="33"/>
        <v>7486.5</v>
      </c>
    </row>
    <row r="457" spans="2:8" s="1" customFormat="1" ht="15" customHeight="1">
      <c r="B457" s="170"/>
      <c r="C457" s="170"/>
      <c r="D457" s="193" t="s">
        <v>1187</v>
      </c>
      <c r="E457" s="194"/>
      <c r="F457" s="195"/>
      <c r="G457" s="195"/>
      <c r="H457" s="196">
        <f>SUM(H425:H456)</f>
        <v>121640.41315950011</v>
      </c>
    </row>
    <row r="458" spans="2:8" s="134" customFormat="1" ht="20.100000000000001" customHeight="1">
      <c r="B458" s="172"/>
      <c r="C458" s="178"/>
      <c r="D458" s="179" t="s">
        <v>2791</v>
      </c>
      <c r="E458" s="180"/>
      <c r="F458" s="181"/>
      <c r="G458" s="181"/>
      <c r="H458" s="182">
        <f>H377+H399+H422+H457</f>
        <v>805719.31982871389</v>
      </c>
    </row>
    <row r="459" spans="2:8" s="134" customFormat="1" ht="20.100000000000001" customHeight="1">
      <c r="B459" s="176" t="s">
        <v>792</v>
      </c>
      <c r="C459" s="176"/>
      <c r="D459" s="204" t="s">
        <v>793</v>
      </c>
      <c r="E459" s="204"/>
      <c r="F459" s="204"/>
      <c r="G459" s="204"/>
      <c r="H459" s="205" t="s">
        <v>1154</v>
      </c>
    </row>
    <row r="460" spans="2:8" s="134" customFormat="1" ht="15" customHeight="1">
      <c r="B460" s="163" t="s">
        <v>794</v>
      </c>
      <c r="C460" s="163"/>
      <c r="D460" s="164" t="s">
        <v>795</v>
      </c>
      <c r="E460" s="164"/>
      <c r="F460" s="164"/>
      <c r="G460" s="164"/>
      <c r="H460" s="198" t="s">
        <v>1154</v>
      </c>
    </row>
    <row r="461" spans="2:8" s="134" customFormat="1" ht="15" customHeight="1">
      <c r="B461" s="169" t="s">
        <v>796</v>
      </c>
      <c r="C461" s="169"/>
      <c r="D461" s="187" t="s">
        <v>797</v>
      </c>
      <c r="E461" s="187"/>
      <c r="F461" s="187"/>
      <c r="G461" s="187"/>
      <c r="H461" s="190" t="s">
        <v>1154</v>
      </c>
    </row>
    <row r="462" spans="2:8" s="1" customFormat="1" ht="25.5">
      <c r="B462" s="170" t="s">
        <v>2553</v>
      </c>
      <c r="C462" s="170" t="s">
        <v>2085</v>
      </c>
      <c r="D462" s="136" t="s">
        <v>798</v>
      </c>
      <c r="E462" s="4" t="s">
        <v>663</v>
      </c>
      <c r="F462" s="5" t="s">
        <v>38</v>
      </c>
      <c r="G462" s="5">
        <f>CPU!H1145</f>
        <v>137137.72235700203</v>
      </c>
      <c r="H462" s="8">
        <f t="shared" ref="H462:H472" si="34">F462*G462</f>
        <v>137137.72235700203</v>
      </c>
    </row>
    <row r="463" spans="2:8" s="134" customFormat="1" ht="15" customHeight="1">
      <c r="B463" s="169" t="s">
        <v>799</v>
      </c>
      <c r="C463" s="169"/>
      <c r="D463" s="187" t="s">
        <v>800</v>
      </c>
      <c r="E463" s="187"/>
      <c r="F463" s="187"/>
      <c r="G463" s="187"/>
      <c r="H463" s="190" t="s">
        <v>1154</v>
      </c>
    </row>
    <row r="464" spans="2:8" s="1" customFormat="1" ht="38.25">
      <c r="B464" s="170" t="s">
        <v>2554</v>
      </c>
      <c r="C464" s="170" t="s">
        <v>801</v>
      </c>
      <c r="D464" s="3" t="s">
        <v>802</v>
      </c>
      <c r="E464" s="4" t="s">
        <v>15</v>
      </c>
      <c r="F464" s="5" t="s">
        <v>803</v>
      </c>
      <c r="G464" s="5">
        <v>272.76</v>
      </c>
      <c r="H464" s="8">
        <f t="shared" si="34"/>
        <v>50460.6</v>
      </c>
    </row>
    <row r="465" spans="2:8" s="1" customFormat="1" ht="15" customHeight="1">
      <c r="B465" s="169" t="s">
        <v>804</v>
      </c>
      <c r="C465" s="169"/>
      <c r="D465" s="200" t="s">
        <v>805</v>
      </c>
      <c r="E465" s="200"/>
      <c r="F465" s="200"/>
      <c r="G465" s="200"/>
      <c r="H465" s="201" t="s">
        <v>1154</v>
      </c>
    </row>
    <row r="466" spans="2:8" s="1" customFormat="1" ht="25.5">
      <c r="B466" s="170" t="s">
        <v>2555</v>
      </c>
      <c r="C466" s="170" t="s">
        <v>806</v>
      </c>
      <c r="D466" s="3" t="s">
        <v>807</v>
      </c>
      <c r="E466" s="4" t="s">
        <v>15</v>
      </c>
      <c r="F466" s="5" t="s">
        <v>808</v>
      </c>
      <c r="G466" s="5">
        <v>80.069999999999993</v>
      </c>
      <c r="H466" s="8">
        <f t="shared" si="34"/>
        <v>2482.1699999999996</v>
      </c>
    </row>
    <row r="467" spans="2:8" s="1" customFormat="1" ht="26.25" customHeight="1">
      <c r="B467" s="170" t="s">
        <v>2556</v>
      </c>
      <c r="C467" s="170" t="s">
        <v>809</v>
      </c>
      <c r="D467" s="3" t="s">
        <v>810</v>
      </c>
      <c r="E467" s="4" t="s">
        <v>37</v>
      </c>
      <c r="F467" s="5" t="s">
        <v>367</v>
      </c>
      <c r="G467" s="5">
        <v>98.18</v>
      </c>
      <c r="H467" s="8">
        <f t="shared" si="34"/>
        <v>196.36</v>
      </c>
    </row>
    <row r="468" spans="2:8" s="134" customFormat="1" ht="15" customHeight="1">
      <c r="B468" s="169" t="s">
        <v>811</v>
      </c>
      <c r="C468" s="169"/>
      <c r="D468" s="187" t="s">
        <v>812</v>
      </c>
      <c r="E468" s="187"/>
      <c r="F468" s="187"/>
      <c r="G468" s="187"/>
      <c r="H468" s="190" t="s">
        <v>1154</v>
      </c>
    </row>
    <row r="469" spans="2:8" s="1" customFormat="1" ht="25.5">
      <c r="B469" s="170" t="s">
        <v>2557</v>
      </c>
      <c r="C469" s="170" t="s">
        <v>2086</v>
      </c>
      <c r="D469" s="3" t="s">
        <v>813</v>
      </c>
      <c r="E469" s="4" t="s">
        <v>37</v>
      </c>
      <c r="F469" s="5" t="s">
        <v>38</v>
      </c>
      <c r="G469" s="5">
        <f>CPU!H1159</f>
        <v>738.71348511501003</v>
      </c>
      <c r="H469" s="8">
        <f t="shared" si="34"/>
        <v>738.71348511501003</v>
      </c>
    </row>
    <row r="470" spans="2:8" s="134" customFormat="1" ht="15" customHeight="1">
      <c r="B470" s="169" t="s">
        <v>814</v>
      </c>
      <c r="C470" s="169"/>
      <c r="D470" s="187" t="s">
        <v>815</v>
      </c>
      <c r="E470" s="187"/>
      <c r="F470" s="187"/>
      <c r="G470" s="187"/>
      <c r="H470" s="190" t="s">
        <v>1154</v>
      </c>
    </row>
    <row r="471" spans="2:8" s="134" customFormat="1" ht="15" customHeight="1">
      <c r="B471" s="169" t="s">
        <v>816</v>
      </c>
      <c r="C471" s="169"/>
      <c r="D471" s="187" t="s">
        <v>817</v>
      </c>
      <c r="E471" s="187"/>
      <c r="F471" s="187"/>
      <c r="G471" s="187"/>
      <c r="H471" s="190" t="s">
        <v>1154</v>
      </c>
    </row>
    <row r="472" spans="2:8" s="1" customFormat="1" ht="25.5">
      <c r="B472" s="170" t="s">
        <v>2558</v>
      </c>
      <c r="C472" s="170" t="s">
        <v>2087</v>
      </c>
      <c r="D472" s="136" t="s">
        <v>818</v>
      </c>
      <c r="E472" s="4" t="s">
        <v>663</v>
      </c>
      <c r="F472" s="5" t="s">
        <v>38</v>
      </c>
      <c r="G472" s="5">
        <f>CPU!H1169</f>
        <v>5330.8</v>
      </c>
      <c r="H472" s="8">
        <f t="shared" si="34"/>
        <v>5330.8</v>
      </c>
    </row>
    <row r="473" spans="2:8" s="134" customFormat="1" ht="15" customHeight="1">
      <c r="B473" s="169" t="s">
        <v>819</v>
      </c>
      <c r="C473" s="169"/>
      <c r="D473" s="187" t="s">
        <v>820</v>
      </c>
      <c r="E473" s="187"/>
      <c r="F473" s="187"/>
      <c r="G473" s="187"/>
      <c r="H473" s="190"/>
    </row>
    <row r="474" spans="2:8" s="1" customFormat="1" ht="25.5" customHeight="1">
      <c r="B474" s="170" t="s">
        <v>2559</v>
      </c>
      <c r="C474" s="170" t="s">
        <v>2090</v>
      </c>
      <c r="D474" s="136" t="s">
        <v>821</v>
      </c>
      <c r="E474" s="4" t="s">
        <v>663</v>
      </c>
      <c r="F474" s="5" t="s">
        <v>38</v>
      </c>
      <c r="G474" s="5">
        <f>CPU!H1179</f>
        <v>3415.83</v>
      </c>
      <c r="H474" s="8">
        <f t="shared" ref="H474:H483" si="35">F474*G474</f>
        <v>3415.83</v>
      </c>
    </row>
    <row r="475" spans="2:8" s="1" customFormat="1" ht="25.5" customHeight="1">
      <c r="B475" s="170" t="s">
        <v>2560</v>
      </c>
      <c r="C475" s="170" t="s">
        <v>2091</v>
      </c>
      <c r="D475" s="136" t="s">
        <v>822</v>
      </c>
      <c r="E475" s="4" t="s">
        <v>663</v>
      </c>
      <c r="F475" s="5" t="s">
        <v>38</v>
      </c>
      <c r="G475" s="5">
        <f>CPU!H1188</f>
        <v>1611.0817499999998</v>
      </c>
      <c r="H475" s="8">
        <f t="shared" si="35"/>
        <v>1611.0817499999998</v>
      </c>
    </row>
    <row r="476" spans="2:8" s="1" customFormat="1" ht="25.5" customHeight="1">
      <c r="B476" s="170" t="s">
        <v>2561</v>
      </c>
      <c r="C476" s="170" t="s">
        <v>2093</v>
      </c>
      <c r="D476" s="136" t="s">
        <v>823</v>
      </c>
      <c r="E476" s="4" t="s">
        <v>663</v>
      </c>
      <c r="F476" s="5" t="s">
        <v>38</v>
      </c>
      <c r="G476" s="5">
        <f>CPU!H1197</f>
        <v>1925.65175</v>
      </c>
      <c r="H476" s="8">
        <f t="shared" si="35"/>
        <v>1925.65175</v>
      </c>
    </row>
    <row r="477" spans="2:8" s="1" customFormat="1" ht="25.5" customHeight="1">
      <c r="B477" s="170" t="s">
        <v>2562</v>
      </c>
      <c r="C477" s="170" t="s">
        <v>2095</v>
      </c>
      <c r="D477" s="136" t="s">
        <v>824</v>
      </c>
      <c r="E477" s="4" t="s">
        <v>663</v>
      </c>
      <c r="F477" s="5" t="s">
        <v>38</v>
      </c>
      <c r="G477" s="5">
        <f>CPU!H1206</f>
        <v>1595.63175</v>
      </c>
      <c r="H477" s="8">
        <f t="shared" si="35"/>
        <v>1595.63175</v>
      </c>
    </row>
    <row r="478" spans="2:8" s="1" customFormat="1" ht="25.5" customHeight="1">
      <c r="B478" s="170" t="s">
        <v>2563</v>
      </c>
      <c r="C478" s="170" t="s">
        <v>2096</v>
      </c>
      <c r="D478" s="136" t="s">
        <v>825</v>
      </c>
      <c r="E478" s="4" t="s">
        <v>663</v>
      </c>
      <c r="F478" s="5" t="s">
        <v>38</v>
      </c>
      <c r="G478" s="5">
        <f>CPU!H1215</f>
        <v>3191.2917499999999</v>
      </c>
      <c r="H478" s="8">
        <f t="shared" si="35"/>
        <v>3191.2917499999999</v>
      </c>
    </row>
    <row r="479" spans="2:8" s="1" customFormat="1" ht="25.5" customHeight="1">
      <c r="B479" s="170" t="s">
        <v>2564</v>
      </c>
      <c r="C479" s="170" t="s">
        <v>2097</v>
      </c>
      <c r="D479" s="136" t="s">
        <v>826</v>
      </c>
      <c r="E479" s="4" t="s">
        <v>663</v>
      </c>
      <c r="F479" s="5" t="s">
        <v>38</v>
      </c>
      <c r="G479" s="5">
        <f>CPU!H1224</f>
        <v>3425.2417500000001</v>
      </c>
      <c r="H479" s="8">
        <f t="shared" si="35"/>
        <v>3425.2417500000001</v>
      </c>
    </row>
    <row r="480" spans="2:8" s="1" customFormat="1" ht="25.5" customHeight="1">
      <c r="B480" s="170" t="s">
        <v>2565</v>
      </c>
      <c r="C480" s="170" t="s">
        <v>2099</v>
      </c>
      <c r="D480" s="136" t="s">
        <v>827</v>
      </c>
      <c r="E480" s="4" t="s">
        <v>663</v>
      </c>
      <c r="F480" s="5" t="s">
        <v>38</v>
      </c>
      <c r="G480" s="5">
        <f>CPU!H1233</f>
        <v>3580.8417499999996</v>
      </c>
      <c r="H480" s="8">
        <f t="shared" si="35"/>
        <v>3580.8417499999996</v>
      </c>
    </row>
    <row r="481" spans="2:8" s="1" customFormat="1" ht="25.5" customHeight="1">
      <c r="B481" s="170" t="s">
        <v>2566</v>
      </c>
      <c r="C481" s="170" t="s">
        <v>2100</v>
      </c>
      <c r="D481" s="136" t="s">
        <v>828</v>
      </c>
      <c r="E481" s="4" t="s">
        <v>663</v>
      </c>
      <c r="F481" s="5" t="s">
        <v>38</v>
      </c>
      <c r="G481" s="5">
        <f>CPU!H1242</f>
        <v>1736.2298999999998</v>
      </c>
      <c r="H481" s="8">
        <f t="shared" si="35"/>
        <v>1736.2298999999998</v>
      </c>
    </row>
    <row r="482" spans="2:8" s="1" customFormat="1" ht="40.5" customHeight="1">
      <c r="B482" s="170" t="s">
        <v>2567</v>
      </c>
      <c r="C482" s="170" t="s">
        <v>2831</v>
      </c>
      <c r="D482" s="3" t="s">
        <v>830</v>
      </c>
      <c r="E482" s="4" t="s">
        <v>37</v>
      </c>
      <c r="F482" s="5" t="s">
        <v>358</v>
      </c>
      <c r="G482" s="5">
        <v>3113.75</v>
      </c>
      <c r="H482" s="8">
        <f t="shared" si="35"/>
        <v>9341.25</v>
      </c>
    </row>
    <row r="483" spans="2:8" s="1" customFormat="1" ht="27.75" customHeight="1">
      <c r="B483" s="170" t="s">
        <v>2568</v>
      </c>
      <c r="C483" s="170" t="s">
        <v>831</v>
      </c>
      <c r="D483" s="3" t="s">
        <v>832</v>
      </c>
      <c r="E483" s="4" t="s">
        <v>37</v>
      </c>
      <c r="F483" s="5" t="s">
        <v>575</v>
      </c>
      <c r="G483" s="5">
        <v>26.77</v>
      </c>
      <c r="H483" s="8">
        <f t="shared" si="35"/>
        <v>240.93</v>
      </c>
    </row>
    <row r="484" spans="2:8" s="134" customFormat="1" ht="15" customHeight="1">
      <c r="B484" s="169" t="s">
        <v>833</v>
      </c>
      <c r="C484" s="169"/>
      <c r="D484" s="187" t="s">
        <v>805</v>
      </c>
      <c r="E484" s="187"/>
      <c r="F484" s="187"/>
      <c r="G484" s="187"/>
      <c r="H484" s="190" t="s">
        <v>1154</v>
      </c>
    </row>
    <row r="485" spans="2:8" s="1" customFormat="1" ht="38.25">
      <c r="B485" s="170" t="s">
        <v>2569</v>
      </c>
      <c r="C485" s="170" t="s">
        <v>2194</v>
      </c>
      <c r="D485" s="3" t="s">
        <v>699</v>
      </c>
      <c r="E485" s="4" t="s">
        <v>24</v>
      </c>
      <c r="F485" s="5" t="s">
        <v>834</v>
      </c>
      <c r="G485" s="5">
        <f>CPU!H993</f>
        <v>22.484903649589999</v>
      </c>
      <c r="H485" s="8">
        <f t="shared" ref="H485:H501" si="36">F485*G485</f>
        <v>3327.7657401393199</v>
      </c>
    </row>
    <row r="486" spans="2:8" s="1" customFormat="1" ht="37.5" customHeight="1">
      <c r="B486" s="170" t="s">
        <v>2570</v>
      </c>
      <c r="C486" s="170" t="s">
        <v>835</v>
      </c>
      <c r="D486" s="3" t="s">
        <v>836</v>
      </c>
      <c r="E486" s="4" t="s">
        <v>15</v>
      </c>
      <c r="F486" s="5" t="s">
        <v>837</v>
      </c>
      <c r="G486" s="5">
        <v>11.57</v>
      </c>
      <c r="H486" s="8">
        <f t="shared" si="36"/>
        <v>17204.59</v>
      </c>
    </row>
    <row r="487" spans="2:8" s="1" customFormat="1" ht="38.25">
      <c r="B487" s="170" t="s">
        <v>2571</v>
      </c>
      <c r="C487" s="170" t="s">
        <v>838</v>
      </c>
      <c r="D487" s="3" t="s">
        <v>839</v>
      </c>
      <c r="E487" s="4" t="s">
        <v>15</v>
      </c>
      <c r="F487" s="5" t="s">
        <v>623</v>
      </c>
      <c r="G487" s="5">
        <v>10.82</v>
      </c>
      <c r="H487" s="8">
        <f t="shared" si="36"/>
        <v>5280.16</v>
      </c>
    </row>
    <row r="488" spans="2:8" s="1" customFormat="1" ht="38.25">
      <c r="B488" s="170" t="s">
        <v>2572</v>
      </c>
      <c r="C488" s="170" t="s">
        <v>840</v>
      </c>
      <c r="D488" s="3" t="s">
        <v>841</v>
      </c>
      <c r="E488" s="4" t="s">
        <v>15</v>
      </c>
      <c r="F488" s="5" t="s">
        <v>735</v>
      </c>
      <c r="G488" s="5">
        <v>15.33</v>
      </c>
      <c r="H488" s="8">
        <f t="shared" si="36"/>
        <v>1670.97</v>
      </c>
    </row>
    <row r="489" spans="2:8" s="1" customFormat="1" ht="38.25">
      <c r="B489" s="170" t="s">
        <v>2573</v>
      </c>
      <c r="C489" s="170" t="s">
        <v>842</v>
      </c>
      <c r="D489" s="3" t="s">
        <v>843</v>
      </c>
      <c r="E489" s="4" t="s">
        <v>15</v>
      </c>
      <c r="F489" s="5" t="s">
        <v>844</v>
      </c>
      <c r="G489" s="5">
        <v>19.760000000000002</v>
      </c>
      <c r="H489" s="8">
        <f t="shared" si="36"/>
        <v>8160.880000000001</v>
      </c>
    </row>
    <row r="490" spans="2:8" s="1" customFormat="1" ht="36.75" customHeight="1">
      <c r="B490" s="170" t="s">
        <v>2574</v>
      </c>
      <c r="C490" s="170" t="s">
        <v>845</v>
      </c>
      <c r="D490" s="3" t="s">
        <v>846</v>
      </c>
      <c r="E490" s="4" t="s">
        <v>37</v>
      </c>
      <c r="F490" s="5" t="s">
        <v>667</v>
      </c>
      <c r="G490" s="5">
        <v>18.78</v>
      </c>
      <c r="H490" s="8">
        <f t="shared" si="36"/>
        <v>244.14000000000001</v>
      </c>
    </row>
    <row r="491" spans="2:8" s="1" customFormat="1" ht="39" customHeight="1">
      <c r="B491" s="170" t="s">
        <v>2575</v>
      </c>
      <c r="C491" s="170" t="s">
        <v>847</v>
      </c>
      <c r="D491" s="3" t="s">
        <v>848</v>
      </c>
      <c r="E491" s="4" t="s">
        <v>37</v>
      </c>
      <c r="F491" s="5" t="s">
        <v>14</v>
      </c>
      <c r="G491" s="5">
        <v>21.37</v>
      </c>
      <c r="H491" s="8">
        <f t="shared" si="36"/>
        <v>213.70000000000002</v>
      </c>
    </row>
    <row r="492" spans="2:8" s="1" customFormat="1" ht="25.5">
      <c r="B492" s="170" t="s">
        <v>2576</v>
      </c>
      <c r="C492" s="170" t="s">
        <v>849</v>
      </c>
      <c r="D492" s="3" t="s">
        <v>850</v>
      </c>
      <c r="E492" s="4" t="s">
        <v>15</v>
      </c>
      <c r="F492" s="5" t="s">
        <v>851</v>
      </c>
      <c r="G492" s="5">
        <v>20.12</v>
      </c>
      <c r="H492" s="8">
        <f t="shared" si="36"/>
        <v>5392.16</v>
      </c>
    </row>
    <row r="493" spans="2:8" s="1" customFormat="1" ht="25.5">
      <c r="B493" s="170" t="s">
        <v>2577</v>
      </c>
      <c r="C493" s="170" t="s">
        <v>852</v>
      </c>
      <c r="D493" s="3" t="s">
        <v>853</v>
      </c>
      <c r="E493" s="4" t="s">
        <v>15</v>
      </c>
      <c r="F493" s="5" t="s">
        <v>289</v>
      </c>
      <c r="G493" s="5">
        <v>30.35</v>
      </c>
      <c r="H493" s="8">
        <f t="shared" si="36"/>
        <v>667.7</v>
      </c>
    </row>
    <row r="494" spans="2:8" s="1" customFormat="1" ht="27" customHeight="1">
      <c r="B494" s="170" t="s">
        <v>2578</v>
      </c>
      <c r="C494" s="170" t="s">
        <v>854</v>
      </c>
      <c r="D494" s="3" t="s">
        <v>855</v>
      </c>
      <c r="E494" s="4" t="s">
        <v>37</v>
      </c>
      <c r="F494" s="5" t="s">
        <v>289</v>
      </c>
      <c r="G494" s="5">
        <v>23.95</v>
      </c>
      <c r="H494" s="8">
        <f t="shared" si="36"/>
        <v>526.9</v>
      </c>
    </row>
    <row r="495" spans="2:8" s="134" customFormat="1" ht="15" customHeight="1">
      <c r="B495" s="169" t="s">
        <v>856</v>
      </c>
      <c r="C495" s="169"/>
      <c r="D495" s="187" t="s">
        <v>857</v>
      </c>
      <c r="E495" s="187"/>
      <c r="F495" s="187"/>
      <c r="G495" s="187"/>
      <c r="H495" s="190" t="s">
        <v>1154</v>
      </c>
    </row>
    <row r="496" spans="2:8" s="1" customFormat="1" ht="38.25">
      <c r="B496" s="170" t="s">
        <v>2579</v>
      </c>
      <c r="C496" s="170" t="s">
        <v>858</v>
      </c>
      <c r="D496" s="3" t="s">
        <v>859</v>
      </c>
      <c r="E496" s="4" t="s">
        <v>15</v>
      </c>
      <c r="F496" s="5" t="s">
        <v>860</v>
      </c>
      <c r="G496" s="5">
        <v>4.33</v>
      </c>
      <c r="H496" s="8">
        <f t="shared" si="36"/>
        <v>214620.78</v>
      </c>
    </row>
    <row r="497" spans="2:8" s="1" customFormat="1" ht="38.25">
      <c r="B497" s="170" t="s">
        <v>2580</v>
      </c>
      <c r="C497" s="170" t="s">
        <v>861</v>
      </c>
      <c r="D497" s="3" t="s">
        <v>862</v>
      </c>
      <c r="E497" s="4" t="s">
        <v>15</v>
      </c>
      <c r="F497" s="5" t="s">
        <v>863</v>
      </c>
      <c r="G497" s="5">
        <v>10.15</v>
      </c>
      <c r="H497" s="8">
        <f t="shared" si="36"/>
        <v>20350.75</v>
      </c>
    </row>
    <row r="498" spans="2:8" s="1" customFormat="1" ht="38.25">
      <c r="B498" s="170" t="s">
        <v>2581</v>
      </c>
      <c r="C498" s="170" t="s">
        <v>864</v>
      </c>
      <c r="D498" s="3" t="s">
        <v>865</v>
      </c>
      <c r="E498" s="4" t="s">
        <v>15</v>
      </c>
      <c r="F498" s="5" t="s">
        <v>866</v>
      </c>
      <c r="G498" s="5">
        <v>16.25</v>
      </c>
      <c r="H498" s="8">
        <f t="shared" si="36"/>
        <v>35067.5</v>
      </c>
    </row>
    <row r="499" spans="2:8" s="1" customFormat="1" ht="38.25">
      <c r="B499" s="170" t="s">
        <v>2582</v>
      </c>
      <c r="C499" s="170" t="s">
        <v>867</v>
      </c>
      <c r="D499" s="3" t="s">
        <v>868</v>
      </c>
      <c r="E499" s="4" t="s">
        <v>15</v>
      </c>
      <c r="F499" s="5" t="s">
        <v>651</v>
      </c>
      <c r="G499" s="5">
        <v>25.5</v>
      </c>
      <c r="H499" s="8">
        <f t="shared" si="36"/>
        <v>3060</v>
      </c>
    </row>
    <row r="500" spans="2:8" s="1" customFormat="1" ht="38.25">
      <c r="B500" s="170" t="s">
        <v>2583</v>
      </c>
      <c r="C500" s="170" t="s">
        <v>869</v>
      </c>
      <c r="D500" s="3" t="s">
        <v>870</v>
      </c>
      <c r="E500" s="4" t="s">
        <v>15</v>
      </c>
      <c r="F500" s="5" t="s">
        <v>871</v>
      </c>
      <c r="G500" s="5">
        <v>29.45</v>
      </c>
      <c r="H500" s="8">
        <f t="shared" si="36"/>
        <v>27005.649999999998</v>
      </c>
    </row>
    <row r="501" spans="2:8" s="1" customFormat="1" ht="38.25">
      <c r="B501" s="170" t="s">
        <v>2584</v>
      </c>
      <c r="C501" s="170" t="s">
        <v>872</v>
      </c>
      <c r="D501" s="3" t="s">
        <v>873</v>
      </c>
      <c r="E501" s="4" t="s">
        <v>15</v>
      </c>
      <c r="F501" s="5" t="s">
        <v>754</v>
      </c>
      <c r="G501" s="5">
        <v>40.86</v>
      </c>
      <c r="H501" s="8">
        <f t="shared" si="36"/>
        <v>6537.6</v>
      </c>
    </row>
    <row r="502" spans="2:8" s="134" customFormat="1" ht="15" customHeight="1">
      <c r="B502" s="169" t="s">
        <v>874</v>
      </c>
      <c r="C502" s="169"/>
      <c r="D502" s="187" t="s">
        <v>709</v>
      </c>
      <c r="E502" s="187"/>
      <c r="F502" s="187"/>
      <c r="G502" s="187"/>
      <c r="H502" s="190" t="s">
        <v>1154</v>
      </c>
    </row>
    <row r="503" spans="2:8" s="1" customFormat="1" ht="25.5">
      <c r="B503" s="170" t="s">
        <v>2585</v>
      </c>
      <c r="C503" s="170" t="s">
        <v>2197</v>
      </c>
      <c r="D503" s="136" t="s">
        <v>875</v>
      </c>
      <c r="E503" s="4" t="s">
        <v>37</v>
      </c>
      <c r="F503" s="5" t="s">
        <v>314</v>
      </c>
      <c r="G503" s="5">
        <f>CPU!H1256</f>
        <v>555.238471</v>
      </c>
      <c r="H503" s="8">
        <f t="shared" ref="H503:H508" si="37">F503*G503</f>
        <v>26651.446607999998</v>
      </c>
    </row>
    <row r="504" spans="2:8" s="1" customFormat="1" ht="38.25">
      <c r="B504" s="170" t="s">
        <v>2586</v>
      </c>
      <c r="C504" s="170" t="s">
        <v>876</v>
      </c>
      <c r="D504" s="3" t="s">
        <v>877</v>
      </c>
      <c r="E504" s="4" t="s">
        <v>37</v>
      </c>
      <c r="F504" s="5" t="s">
        <v>289</v>
      </c>
      <c r="G504" s="5">
        <v>27.08</v>
      </c>
      <c r="H504" s="8">
        <f t="shared" si="37"/>
        <v>595.76</v>
      </c>
    </row>
    <row r="505" spans="2:8" s="1" customFormat="1" ht="38.25">
      <c r="B505" s="170" t="s">
        <v>2587</v>
      </c>
      <c r="C505" s="170" t="s">
        <v>878</v>
      </c>
      <c r="D505" s="3" t="s">
        <v>879</v>
      </c>
      <c r="E505" s="4" t="s">
        <v>37</v>
      </c>
      <c r="F505" s="5" t="s">
        <v>880</v>
      </c>
      <c r="G505" s="5">
        <v>14.32</v>
      </c>
      <c r="H505" s="8">
        <f t="shared" si="37"/>
        <v>5670.72</v>
      </c>
    </row>
    <row r="506" spans="2:8" s="1" customFormat="1" ht="38.25">
      <c r="B506" s="170" t="s">
        <v>2588</v>
      </c>
      <c r="C506" s="170" t="s">
        <v>881</v>
      </c>
      <c r="D506" s="3" t="s">
        <v>882</v>
      </c>
      <c r="E506" s="4" t="s">
        <v>37</v>
      </c>
      <c r="F506" s="5" t="s">
        <v>883</v>
      </c>
      <c r="G506" s="5">
        <v>9.5399999999999991</v>
      </c>
      <c r="H506" s="8">
        <f t="shared" si="37"/>
        <v>1354.6799999999998</v>
      </c>
    </row>
    <row r="507" spans="2:8" s="1" customFormat="1" ht="38.25">
      <c r="B507" s="170" t="s">
        <v>2589</v>
      </c>
      <c r="C507" s="170" t="s">
        <v>884</v>
      </c>
      <c r="D507" s="3" t="s">
        <v>885</v>
      </c>
      <c r="E507" s="4" t="s">
        <v>37</v>
      </c>
      <c r="F507" s="5" t="s">
        <v>886</v>
      </c>
      <c r="G507" s="5">
        <v>33.26</v>
      </c>
      <c r="H507" s="8">
        <f t="shared" si="37"/>
        <v>2860.3599999999997</v>
      </c>
    </row>
    <row r="508" spans="2:8" s="1" customFormat="1" ht="38.25">
      <c r="B508" s="170" t="s">
        <v>2590</v>
      </c>
      <c r="C508" s="170" t="s">
        <v>887</v>
      </c>
      <c r="D508" s="3" t="s">
        <v>888</v>
      </c>
      <c r="E508" s="4" t="s">
        <v>37</v>
      </c>
      <c r="F508" s="5" t="s">
        <v>674</v>
      </c>
      <c r="G508" s="5">
        <v>18.59</v>
      </c>
      <c r="H508" s="8">
        <f t="shared" si="37"/>
        <v>836.55</v>
      </c>
    </row>
    <row r="509" spans="2:8" s="134" customFormat="1" ht="15" customHeight="1">
      <c r="B509" s="169" t="s">
        <v>889</v>
      </c>
      <c r="C509" s="169"/>
      <c r="D509" s="187" t="s">
        <v>890</v>
      </c>
      <c r="E509" s="187"/>
      <c r="F509" s="187"/>
      <c r="G509" s="187"/>
      <c r="H509" s="190" t="s">
        <v>1154</v>
      </c>
    </row>
    <row r="510" spans="2:8" s="1" customFormat="1" ht="38.25">
      <c r="B510" s="170" t="s">
        <v>2591</v>
      </c>
      <c r="C510" s="170" t="s">
        <v>2102</v>
      </c>
      <c r="D510" s="3" t="s">
        <v>891</v>
      </c>
      <c r="E510" s="4" t="s">
        <v>15</v>
      </c>
      <c r="F510" s="5">
        <v>42</v>
      </c>
      <c r="G510" s="5">
        <f>CPU!H1271</f>
        <v>68.001833622109459</v>
      </c>
      <c r="H510" s="8">
        <f t="shared" ref="H510:H517" si="38">F510*G510</f>
        <v>2856.0770121285973</v>
      </c>
    </row>
    <row r="511" spans="2:8" s="1" customFormat="1" ht="38.25">
      <c r="B511" s="170" t="s">
        <v>2592</v>
      </c>
      <c r="C511" s="170" t="s">
        <v>2110</v>
      </c>
      <c r="D511" s="3" t="s">
        <v>892</v>
      </c>
      <c r="E511" s="4" t="s">
        <v>15</v>
      </c>
      <c r="F511" s="5">
        <v>117</v>
      </c>
      <c r="G511" s="5">
        <f>CPU!H1286</f>
        <v>60.591741317607564</v>
      </c>
      <c r="H511" s="8">
        <f t="shared" si="38"/>
        <v>7089.2337341600851</v>
      </c>
    </row>
    <row r="512" spans="2:8" s="1" customFormat="1" ht="38.25">
      <c r="B512" s="170" t="s">
        <v>2593</v>
      </c>
      <c r="C512" s="170" t="s">
        <v>2114</v>
      </c>
      <c r="D512" s="3" t="s">
        <v>893</v>
      </c>
      <c r="E512" s="4" t="s">
        <v>15</v>
      </c>
      <c r="F512" s="5">
        <v>32</v>
      </c>
      <c r="G512" s="5">
        <f>CPU!H1301</f>
        <v>66.861415093059463</v>
      </c>
      <c r="H512" s="8">
        <f t="shared" si="38"/>
        <v>2139.5652829779028</v>
      </c>
    </row>
    <row r="513" spans="2:8" s="1" customFormat="1" ht="31.5" customHeight="1">
      <c r="B513" s="170" t="s">
        <v>2594</v>
      </c>
      <c r="C513" s="170" t="s">
        <v>2117</v>
      </c>
      <c r="D513" s="3" t="s">
        <v>894</v>
      </c>
      <c r="E513" s="4" t="s">
        <v>15</v>
      </c>
      <c r="F513" s="5">
        <v>18</v>
      </c>
      <c r="G513" s="5">
        <f>CPU!H1316</f>
        <v>88.528310984653345</v>
      </c>
      <c r="H513" s="8">
        <f t="shared" si="38"/>
        <v>1593.5095977237602</v>
      </c>
    </row>
    <row r="514" spans="2:8" s="1" customFormat="1" ht="27.75" customHeight="1">
      <c r="B514" s="170" t="s">
        <v>2595</v>
      </c>
      <c r="C514" s="170" t="s">
        <v>2121</v>
      </c>
      <c r="D514" s="85" t="s">
        <v>1928</v>
      </c>
      <c r="E514" s="96" t="s">
        <v>15</v>
      </c>
      <c r="F514" s="5">
        <v>479.46</v>
      </c>
      <c r="G514" s="5">
        <f>CPU!H1333</f>
        <v>189.553409539754</v>
      </c>
      <c r="H514" s="8">
        <f t="shared" si="38"/>
        <v>90883.277737930446</v>
      </c>
    </row>
    <row r="515" spans="2:8" s="1" customFormat="1" ht="25.5">
      <c r="B515" s="170" t="s">
        <v>2596</v>
      </c>
      <c r="C515" s="170" t="s">
        <v>895</v>
      </c>
      <c r="D515" s="3" t="s">
        <v>2727</v>
      </c>
      <c r="E515" s="4" t="s">
        <v>15</v>
      </c>
      <c r="F515" s="5" t="s">
        <v>896</v>
      </c>
      <c r="G515" s="5">
        <v>11.15</v>
      </c>
      <c r="H515" s="8">
        <f t="shared" si="38"/>
        <v>20047.7</v>
      </c>
    </row>
    <row r="516" spans="2:8" s="1" customFormat="1" ht="25.5">
      <c r="B516" s="170" t="s">
        <v>2597</v>
      </c>
      <c r="C516" s="170" t="s">
        <v>2725</v>
      </c>
      <c r="D516" s="3" t="s">
        <v>2726</v>
      </c>
      <c r="E516" s="4" t="s">
        <v>15</v>
      </c>
      <c r="F516" s="5" t="s">
        <v>897</v>
      </c>
      <c r="G516" s="5">
        <v>17.27</v>
      </c>
      <c r="H516" s="8">
        <f t="shared" si="38"/>
        <v>13332.44</v>
      </c>
    </row>
    <row r="517" spans="2:8" s="1" customFormat="1" ht="42.75" customHeight="1">
      <c r="B517" s="170" t="s">
        <v>2598</v>
      </c>
      <c r="C517" s="170" t="s">
        <v>898</v>
      </c>
      <c r="D517" s="3" t="s">
        <v>899</v>
      </c>
      <c r="E517" s="4" t="s">
        <v>15</v>
      </c>
      <c r="F517" s="5" t="s">
        <v>900</v>
      </c>
      <c r="G517" s="5">
        <v>19.170000000000002</v>
      </c>
      <c r="H517" s="8">
        <f t="shared" si="38"/>
        <v>4850.01</v>
      </c>
    </row>
    <row r="518" spans="2:8" s="134" customFormat="1" ht="15" customHeight="1">
      <c r="B518" s="170"/>
      <c r="C518" s="170"/>
      <c r="D518" s="193" t="s">
        <v>1188</v>
      </c>
      <c r="E518" s="194"/>
      <c r="F518" s="195"/>
      <c r="G518" s="195"/>
      <c r="H518" s="196">
        <f>SUM(H462:H517)</f>
        <v>756502.92195517698</v>
      </c>
    </row>
    <row r="519" spans="2:8" s="134" customFormat="1" ht="15" customHeight="1">
      <c r="B519" s="163" t="s">
        <v>901</v>
      </c>
      <c r="C519" s="163"/>
      <c r="D519" s="164" t="s">
        <v>902</v>
      </c>
      <c r="E519" s="164"/>
      <c r="F519" s="164"/>
      <c r="G519" s="164"/>
      <c r="H519" s="198" t="s">
        <v>1154</v>
      </c>
    </row>
    <row r="520" spans="2:8" s="134" customFormat="1" ht="15" customHeight="1">
      <c r="B520" s="169" t="s">
        <v>903</v>
      </c>
      <c r="C520" s="169"/>
      <c r="D520" s="187" t="s">
        <v>904</v>
      </c>
      <c r="E520" s="187"/>
      <c r="F520" s="187"/>
      <c r="G520" s="187"/>
      <c r="H520" s="190" t="s">
        <v>1154</v>
      </c>
    </row>
    <row r="521" spans="2:8" s="1" customFormat="1" ht="30" customHeight="1">
      <c r="B521" s="177" t="s">
        <v>2599</v>
      </c>
      <c r="C521" s="170" t="s">
        <v>2122</v>
      </c>
      <c r="D521" s="136" t="s">
        <v>2728</v>
      </c>
      <c r="E521" s="4" t="s">
        <v>37</v>
      </c>
      <c r="F521" s="5">
        <v>582</v>
      </c>
      <c r="G521" s="5">
        <f>CPU!H1339</f>
        <v>227.85499999999999</v>
      </c>
      <c r="H521" s="8">
        <f t="shared" ref="H521:H526" si="39">F521*G521</f>
        <v>132611.60999999999</v>
      </c>
    </row>
    <row r="522" spans="2:8" s="1" customFormat="1" ht="25.5">
      <c r="B522" s="177" t="s">
        <v>2600</v>
      </c>
      <c r="C522" s="170" t="s">
        <v>2124</v>
      </c>
      <c r="D522" s="3" t="s">
        <v>906</v>
      </c>
      <c r="E522" s="4" t="s">
        <v>37</v>
      </c>
      <c r="F522" s="5">
        <v>72</v>
      </c>
      <c r="G522" s="5">
        <f>CPU!H1345</f>
        <v>145.58500000000001</v>
      </c>
      <c r="H522" s="8">
        <f t="shared" si="39"/>
        <v>10482.120000000001</v>
      </c>
    </row>
    <row r="523" spans="2:8" s="1" customFormat="1" ht="25.5">
      <c r="B523" s="177" t="s">
        <v>2601</v>
      </c>
      <c r="C523" s="170" t="s">
        <v>2125</v>
      </c>
      <c r="D523" s="3" t="s">
        <v>907</v>
      </c>
      <c r="E523" s="4" t="s">
        <v>37</v>
      </c>
      <c r="F523" s="5">
        <v>211</v>
      </c>
      <c r="G523" s="5">
        <f>CPU!H1352</f>
        <v>96.051999999999992</v>
      </c>
      <c r="H523" s="8">
        <f t="shared" si="39"/>
        <v>20266.971999999998</v>
      </c>
    </row>
    <row r="524" spans="2:8" s="1" customFormat="1" ht="25.5">
      <c r="B524" s="177" t="s">
        <v>2602</v>
      </c>
      <c r="C524" s="170" t="s">
        <v>2126</v>
      </c>
      <c r="D524" s="3" t="s">
        <v>908</v>
      </c>
      <c r="E524" s="4" t="s">
        <v>37</v>
      </c>
      <c r="F524" s="5">
        <v>106</v>
      </c>
      <c r="G524" s="5">
        <f>CPU!H1359</f>
        <v>137.14200000000002</v>
      </c>
      <c r="H524" s="8">
        <f t="shared" si="39"/>
        <v>14537.052000000003</v>
      </c>
    </row>
    <row r="525" spans="2:8" s="1" customFormat="1" ht="25.5">
      <c r="B525" s="177" t="s">
        <v>2603</v>
      </c>
      <c r="C525" s="170" t="s">
        <v>2127</v>
      </c>
      <c r="D525" s="137" t="s">
        <v>1930</v>
      </c>
      <c r="E525" s="94" t="s">
        <v>37</v>
      </c>
      <c r="F525" s="5">
        <v>413</v>
      </c>
      <c r="G525" s="5">
        <f>CPU!H1368</f>
        <v>45.8705</v>
      </c>
      <c r="H525" s="8">
        <f t="shared" si="39"/>
        <v>18944.516500000002</v>
      </c>
    </row>
    <row r="526" spans="2:8" s="1" customFormat="1" ht="38.25">
      <c r="B526" s="177" t="s">
        <v>2604</v>
      </c>
      <c r="C526" s="170" t="s">
        <v>909</v>
      </c>
      <c r="D526" s="3" t="s">
        <v>910</v>
      </c>
      <c r="E526" s="4" t="s">
        <v>37</v>
      </c>
      <c r="F526" s="5">
        <v>4</v>
      </c>
      <c r="G526" s="5">
        <v>68.98</v>
      </c>
      <c r="H526" s="8">
        <f t="shared" si="39"/>
        <v>275.92</v>
      </c>
    </row>
    <row r="527" spans="2:8" s="134" customFormat="1" ht="15" customHeight="1">
      <c r="B527" s="169" t="s">
        <v>914</v>
      </c>
      <c r="C527" s="169"/>
      <c r="D527" s="187" t="s">
        <v>915</v>
      </c>
      <c r="E527" s="187"/>
      <c r="F527" s="187"/>
      <c r="G527" s="187"/>
      <c r="H527" s="190" t="s">
        <v>1154</v>
      </c>
    </row>
    <row r="528" spans="2:8" s="1" customFormat="1" ht="38.25">
      <c r="B528" s="177" t="s">
        <v>2605</v>
      </c>
      <c r="C528" s="170" t="s">
        <v>916</v>
      </c>
      <c r="D528" s="3" t="s">
        <v>917</v>
      </c>
      <c r="E528" s="4" t="s">
        <v>37</v>
      </c>
      <c r="F528" s="5" t="s">
        <v>918</v>
      </c>
      <c r="G528" s="5">
        <v>26.96</v>
      </c>
      <c r="H528" s="8">
        <f t="shared" ref="H528:H536" si="40">F528*G528</f>
        <v>1752.4</v>
      </c>
    </row>
    <row r="529" spans="2:8" s="1" customFormat="1" ht="38.25">
      <c r="B529" s="177" t="s">
        <v>2606</v>
      </c>
      <c r="C529" s="170" t="s">
        <v>919</v>
      </c>
      <c r="D529" s="3" t="s">
        <v>920</v>
      </c>
      <c r="E529" s="4" t="s">
        <v>37</v>
      </c>
      <c r="F529" s="5" t="s">
        <v>729</v>
      </c>
      <c r="G529" s="5">
        <v>33.28</v>
      </c>
      <c r="H529" s="8">
        <f t="shared" si="40"/>
        <v>3061.76</v>
      </c>
    </row>
    <row r="530" spans="2:8" s="1" customFormat="1" ht="38.25">
      <c r="B530" s="177" t="s">
        <v>2607</v>
      </c>
      <c r="C530" s="170" t="s">
        <v>921</v>
      </c>
      <c r="D530" s="3" t="s">
        <v>922</v>
      </c>
      <c r="E530" s="4" t="s">
        <v>37</v>
      </c>
      <c r="F530" s="5" t="s">
        <v>314</v>
      </c>
      <c r="G530" s="5">
        <v>42.69</v>
      </c>
      <c r="H530" s="8">
        <f t="shared" si="40"/>
        <v>2049.12</v>
      </c>
    </row>
    <row r="531" spans="2:8" s="1" customFormat="1" ht="38.25">
      <c r="B531" s="177" t="s">
        <v>2608</v>
      </c>
      <c r="C531" s="170" t="s">
        <v>923</v>
      </c>
      <c r="D531" s="3" t="s">
        <v>924</v>
      </c>
      <c r="E531" s="4" t="s">
        <v>37</v>
      </c>
      <c r="F531" s="5" t="s">
        <v>925</v>
      </c>
      <c r="G531" s="5">
        <v>58.42</v>
      </c>
      <c r="H531" s="8">
        <f t="shared" si="40"/>
        <v>1518.92</v>
      </c>
    </row>
    <row r="532" spans="2:8" s="134" customFormat="1" ht="15" customHeight="1">
      <c r="B532" s="169" t="s">
        <v>926</v>
      </c>
      <c r="C532" s="169"/>
      <c r="D532" s="187" t="s">
        <v>927</v>
      </c>
      <c r="E532" s="187"/>
      <c r="F532" s="187"/>
      <c r="G532" s="187"/>
      <c r="H532" s="190" t="s">
        <v>1154</v>
      </c>
    </row>
    <row r="533" spans="2:8" s="1" customFormat="1" ht="25.5">
      <c r="B533" s="170" t="s">
        <v>2609</v>
      </c>
      <c r="C533" s="170" t="s">
        <v>2198</v>
      </c>
      <c r="D533" s="136" t="s">
        <v>928</v>
      </c>
      <c r="E533" s="4" t="s">
        <v>37</v>
      </c>
      <c r="F533" s="5" t="s">
        <v>25</v>
      </c>
      <c r="G533" s="5">
        <f>CPU!H1376</f>
        <v>143.5</v>
      </c>
      <c r="H533" s="8">
        <f t="shared" si="40"/>
        <v>3874.5</v>
      </c>
    </row>
    <row r="534" spans="2:8" s="1" customFormat="1" ht="38.25">
      <c r="B534" s="170" t="s">
        <v>2610</v>
      </c>
      <c r="C534" s="170" t="s">
        <v>929</v>
      </c>
      <c r="D534" s="3" t="s">
        <v>930</v>
      </c>
      <c r="E534" s="4" t="s">
        <v>37</v>
      </c>
      <c r="F534" s="5" t="s">
        <v>931</v>
      </c>
      <c r="G534" s="5">
        <v>40.78</v>
      </c>
      <c r="H534" s="8">
        <f t="shared" si="40"/>
        <v>7381.18</v>
      </c>
    </row>
    <row r="535" spans="2:8" s="1" customFormat="1" ht="38.25">
      <c r="B535" s="170" t="s">
        <v>2611</v>
      </c>
      <c r="C535" s="170" t="s">
        <v>932</v>
      </c>
      <c r="D535" s="3" t="s">
        <v>933</v>
      </c>
      <c r="E535" s="4" t="s">
        <v>37</v>
      </c>
      <c r="F535" s="5" t="s">
        <v>934</v>
      </c>
      <c r="G535" s="5">
        <v>45.8</v>
      </c>
      <c r="H535" s="8">
        <f t="shared" si="40"/>
        <v>13098.8</v>
      </c>
    </row>
    <row r="536" spans="2:8" s="1" customFormat="1" ht="38.25">
      <c r="B536" s="170" t="s">
        <v>2612</v>
      </c>
      <c r="C536" s="170" t="s">
        <v>935</v>
      </c>
      <c r="D536" s="3" t="s">
        <v>936</v>
      </c>
      <c r="E536" s="4" t="s">
        <v>37</v>
      </c>
      <c r="F536" s="5" t="s">
        <v>937</v>
      </c>
      <c r="G536" s="5">
        <v>73.33</v>
      </c>
      <c r="H536" s="8">
        <f t="shared" si="40"/>
        <v>10192.869999999999</v>
      </c>
    </row>
    <row r="537" spans="2:8" s="1" customFormat="1" ht="15" customHeight="1">
      <c r="B537" s="170"/>
      <c r="C537" s="7"/>
      <c r="D537" s="193" t="s">
        <v>1189</v>
      </c>
      <c r="E537" s="194"/>
      <c r="F537" s="195"/>
      <c r="G537" s="195"/>
      <c r="H537" s="196">
        <f>SUM(H521:H536)</f>
        <v>240047.74049999999</v>
      </c>
    </row>
    <row r="538" spans="2:8" s="1" customFormat="1" ht="12.75">
      <c r="B538" s="169" t="s">
        <v>938</v>
      </c>
      <c r="C538" s="169"/>
      <c r="D538" s="187" t="s">
        <v>939</v>
      </c>
      <c r="E538" s="200"/>
      <c r="F538" s="200"/>
      <c r="G538" s="200"/>
      <c r="H538" s="201" t="s">
        <v>1154</v>
      </c>
    </row>
    <row r="539" spans="2:8" s="1" customFormat="1" ht="25.5">
      <c r="B539" s="170" t="s">
        <v>2613</v>
      </c>
      <c r="C539" s="170" t="s">
        <v>2199</v>
      </c>
      <c r="D539" s="3" t="s">
        <v>940</v>
      </c>
      <c r="E539" s="4" t="s">
        <v>663</v>
      </c>
      <c r="F539" s="5" t="s">
        <v>38</v>
      </c>
      <c r="G539" s="5">
        <f>CPU!H1408</f>
        <v>5241.3376699999999</v>
      </c>
      <c r="H539" s="8">
        <f t="shared" ref="H539:H549" si="41">F539*G539</f>
        <v>5241.3376699999999</v>
      </c>
    </row>
    <row r="540" spans="2:8" s="1" customFormat="1" ht="38.25">
      <c r="B540" s="170" t="s">
        <v>2614</v>
      </c>
      <c r="C540" s="170" t="s">
        <v>2200</v>
      </c>
      <c r="D540" s="3" t="s">
        <v>941</v>
      </c>
      <c r="E540" s="4" t="s">
        <v>37</v>
      </c>
      <c r="F540" s="5" t="s">
        <v>803</v>
      </c>
      <c r="G540" s="5">
        <f>CPU!H1413</f>
        <v>18.102899999999998</v>
      </c>
      <c r="H540" s="8">
        <f t="shared" si="41"/>
        <v>3349.0364999999997</v>
      </c>
    </row>
    <row r="541" spans="2:8" s="1" customFormat="1" ht="26.25" customHeight="1">
      <c r="B541" s="170" t="s">
        <v>2615</v>
      </c>
      <c r="C541" s="170" t="s">
        <v>942</v>
      </c>
      <c r="D541" s="3" t="s">
        <v>943</v>
      </c>
      <c r="E541" s="4" t="s">
        <v>15</v>
      </c>
      <c r="F541" s="5" t="s">
        <v>944</v>
      </c>
      <c r="G541" s="5">
        <v>86.86</v>
      </c>
      <c r="H541" s="8">
        <f t="shared" si="41"/>
        <v>48207.3</v>
      </c>
    </row>
    <row r="542" spans="2:8" s="1" customFormat="1" ht="15" customHeight="1">
      <c r="B542" s="170"/>
      <c r="C542" s="170"/>
      <c r="D542" s="193" t="s">
        <v>1190</v>
      </c>
      <c r="E542" s="194"/>
      <c r="F542" s="195"/>
      <c r="G542" s="195"/>
      <c r="H542" s="196">
        <f>SUM(H539:H541)</f>
        <v>56797.674169999998</v>
      </c>
    </row>
    <row r="543" spans="2:8" s="134" customFormat="1" ht="15" customHeight="1">
      <c r="B543" s="163" t="s">
        <v>945</v>
      </c>
      <c r="C543" s="163"/>
      <c r="D543" s="164" t="s">
        <v>946</v>
      </c>
      <c r="E543" s="164"/>
      <c r="F543" s="164"/>
      <c r="G543" s="164"/>
      <c r="H543" s="198" t="s">
        <v>1154</v>
      </c>
    </row>
    <row r="544" spans="2:8" s="134" customFormat="1" ht="15" customHeight="1">
      <c r="B544" s="169" t="s">
        <v>947</v>
      </c>
      <c r="C544" s="169"/>
      <c r="D544" s="187" t="s">
        <v>948</v>
      </c>
      <c r="E544" s="187"/>
      <c r="F544" s="187"/>
      <c r="G544" s="187"/>
      <c r="H544" s="190" t="s">
        <v>1154</v>
      </c>
    </row>
    <row r="545" spans="2:8" s="1" customFormat="1" ht="25.5">
      <c r="B545" s="170" t="s">
        <v>2616</v>
      </c>
      <c r="C545" s="170" t="s">
        <v>2129</v>
      </c>
      <c r="D545" s="136" t="s">
        <v>949</v>
      </c>
      <c r="E545" s="4" t="s">
        <v>37</v>
      </c>
      <c r="F545" s="5" t="s">
        <v>38</v>
      </c>
      <c r="G545" s="5">
        <f>CPU!H1419</f>
        <v>4008.26</v>
      </c>
      <c r="H545" s="8">
        <f t="shared" si="41"/>
        <v>4008.26</v>
      </c>
    </row>
    <row r="546" spans="2:8" s="1" customFormat="1" ht="27.75" customHeight="1">
      <c r="B546" s="170" t="s">
        <v>2617</v>
      </c>
      <c r="C546" s="170" t="s">
        <v>2131</v>
      </c>
      <c r="D546" s="3" t="s">
        <v>950</v>
      </c>
      <c r="E546" s="4" t="s">
        <v>37</v>
      </c>
      <c r="F546" s="5" t="s">
        <v>588</v>
      </c>
      <c r="G546" s="5">
        <f>CPU!H1434</f>
        <v>297.34257999999994</v>
      </c>
      <c r="H546" s="8">
        <f t="shared" si="41"/>
        <v>1486.7128999999998</v>
      </c>
    </row>
    <row r="547" spans="2:8" s="1" customFormat="1" ht="30" customHeight="1">
      <c r="B547" s="170" t="s">
        <v>2618</v>
      </c>
      <c r="C547" s="170" t="s">
        <v>2134</v>
      </c>
      <c r="D547" s="3" t="s">
        <v>951</v>
      </c>
      <c r="E547" s="4" t="s">
        <v>37</v>
      </c>
      <c r="F547" s="5" t="s">
        <v>38</v>
      </c>
      <c r="G547" s="5">
        <f>CPU!H1449</f>
        <v>1752.2546179999999</v>
      </c>
      <c r="H547" s="8">
        <f t="shared" si="41"/>
        <v>1752.2546179999999</v>
      </c>
    </row>
    <row r="548" spans="2:8" s="1" customFormat="1" ht="25.5">
      <c r="B548" s="170" t="s">
        <v>2619</v>
      </c>
      <c r="C548" s="170" t="s">
        <v>2224</v>
      </c>
      <c r="D548" s="3" t="s">
        <v>952</v>
      </c>
      <c r="E548" s="4" t="s">
        <v>37</v>
      </c>
      <c r="F548" s="5" t="s">
        <v>38</v>
      </c>
      <c r="G548" s="5">
        <v>890.83</v>
      </c>
      <c r="H548" s="8">
        <f t="shared" si="41"/>
        <v>890.83</v>
      </c>
    </row>
    <row r="549" spans="2:8" s="1" customFormat="1" ht="24.75" customHeight="1">
      <c r="B549" s="170" t="s">
        <v>2620</v>
      </c>
      <c r="C549" s="170" t="s">
        <v>2225</v>
      </c>
      <c r="D549" s="3" t="s">
        <v>953</v>
      </c>
      <c r="E549" s="4" t="s">
        <v>37</v>
      </c>
      <c r="F549" s="5" t="s">
        <v>38</v>
      </c>
      <c r="G549" s="5">
        <v>366.67</v>
      </c>
      <c r="H549" s="8">
        <f t="shared" si="41"/>
        <v>366.67</v>
      </c>
    </row>
    <row r="550" spans="2:8" s="134" customFormat="1" ht="15" customHeight="1">
      <c r="B550" s="169" t="s">
        <v>954</v>
      </c>
      <c r="C550" s="169"/>
      <c r="D550" s="187" t="s">
        <v>955</v>
      </c>
      <c r="E550" s="187"/>
      <c r="F550" s="187"/>
      <c r="G550" s="187"/>
      <c r="H550" s="190" t="s">
        <v>1154</v>
      </c>
    </row>
    <row r="551" spans="2:8" s="1" customFormat="1" ht="51">
      <c r="B551" s="170" t="s">
        <v>2621</v>
      </c>
      <c r="C551" s="170" t="s">
        <v>2226</v>
      </c>
      <c r="D551" s="3" t="s">
        <v>956</v>
      </c>
      <c r="E551" s="4" t="s">
        <v>37</v>
      </c>
      <c r="F551" s="5" t="s">
        <v>38</v>
      </c>
      <c r="G551" s="5">
        <v>237.99</v>
      </c>
      <c r="H551" s="8">
        <f t="shared" ref="H551:H552" si="42">F551*G551</f>
        <v>237.99</v>
      </c>
    </row>
    <row r="552" spans="2:8" s="1" customFormat="1" ht="51">
      <c r="B552" s="170" t="s">
        <v>2622</v>
      </c>
      <c r="C552" s="170" t="s">
        <v>2227</v>
      </c>
      <c r="D552" s="3" t="s">
        <v>957</v>
      </c>
      <c r="E552" s="4" t="s">
        <v>37</v>
      </c>
      <c r="F552" s="5" t="s">
        <v>583</v>
      </c>
      <c r="G552" s="5">
        <v>126.71</v>
      </c>
      <c r="H552" s="8">
        <f t="shared" si="42"/>
        <v>760.26</v>
      </c>
    </row>
    <row r="553" spans="2:8" s="134" customFormat="1" ht="15" customHeight="1">
      <c r="B553" s="169" t="s">
        <v>958</v>
      </c>
      <c r="C553" s="169"/>
      <c r="D553" s="187" t="s">
        <v>959</v>
      </c>
      <c r="E553" s="187"/>
      <c r="F553" s="187"/>
      <c r="G553" s="187"/>
      <c r="H553" s="190" t="s">
        <v>1154</v>
      </c>
    </row>
    <row r="554" spans="2:8" s="1" customFormat="1" ht="38.25">
      <c r="B554" s="170" t="s">
        <v>2623</v>
      </c>
      <c r="C554" s="170" t="s">
        <v>2102</v>
      </c>
      <c r="D554" s="3" t="s">
        <v>891</v>
      </c>
      <c r="E554" s="4" t="s">
        <v>15</v>
      </c>
      <c r="F554" s="5">
        <v>12</v>
      </c>
      <c r="G554" s="5">
        <f>CPU!H1271</f>
        <v>68.001833622109459</v>
      </c>
      <c r="H554" s="8">
        <f t="shared" ref="H554:H577" si="43">F554*G554</f>
        <v>816.02200346531345</v>
      </c>
    </row>
    <row r="555" spans="2:8" s="1" customFormat="1" ht="38.25">
      <c r="B555" s="170" t="s">
        <v>2624</v>
      </c>
      <c r="C555" s="170" t="s">
        <v>2110</v>
      </c>
      <c r="D555" s="3" t="s">
        <v>892</v>
      </c>
      <c r="E555" s="4" t="s">
        <v>15</v>
      </c>
      <c r="F555" s="5" t="s">
        <v>583</v>
      </c>
      <c r="G555" s="5">
        <f>CPU!H1286</f>
        <v>60.591741317607564</v>
      </c>
      <c r="H555" s="8">
        <f t="shared" si="43"/>
        <v>363.5504479056454</v>
      </c>
    </row>
    <row r="556" spans="2:8" s="1" customFormat="1" ht="27.75" customHeight="1">
      <c r="B556" s="170" t="s">
        <v>2625</v>
      </c>
      <c r="C556" s="170" t="s">
        <v>2135</v>
      </c>
      <c r="D556" s="3" t="s">
        <v>960</v>
      </c>
      <c r="E556" s="4" t="s">
        <v>15</v>
      </c>
      <c r="F556" s="5" t="s">
        <v>583</v>
      </c>
      <c r="G556" s="5">
        <f>CPU!H1464</f>
        <v>66.905845788259455</v>
      </c>
      <c r="H556" s="8">
        <f t="shared" si="43"/>
        <v>401.43507472955673</v>
      </c>
    </row>
    <row r="557" spans="2:8" s="1" customFormat="1" ht="27.75" customHeight="1">
      <c r="B557" s="170" t="s">
        <v>2626</v>
      </c>
      <c r="C557" s="170" t="s">
        <v>2117</v>
      </c>
      <c r="D557" s="3" t="s">
        <v>894</v>
      </c>
      <c r="E557" s="4" t="s">
        <v>15</v>
      </c>
      <c r="F557" s="5">
        <v>10</v>
      </c>
      <c r="G557" s="5">
        <f>CPU!H1316</f>
        <v>88.528310984653345</v>
      </c>
      <c r="H557" s="8">
        <f t="shared" si="43"/>
        <v>885.28310984653342</v>
      </c>
    </row>
    <row r="558" spans="2:8" s="1" customFormat="1" ht="38.25">
      <c r="B558" s="170" t="s">
        <v>2627</v>
      </c>
      <c r="C558" s="170" t="s">
        <v>2138</v>
      </c>
      <c r="D558" s="3" t="s">
        <v>961</v>
      </c>
      <c r="E558" s="4" t="s">
        <v>15</v>
      </c>
      <c r="F558" s="5" t="s">
        <v>593</v>
      </c>
      <c r="G558" s="5">
        <f>CPU!H1480</f>
        <v>93.327847451253348</v>
      </c>
      <c r="H558" s="8">
        <f t="shared" si="43"/>
        <v>653.29493215877346</v>
      </c>
    </row>
    <row r="559" spans="2:8" s="1" customFormat="1" ht="38.25">
      <c r="B559" s="170" t="s">
        <v>2628</v>
      </c>
      <c r="C559" s="170" t="s">
        <v>2194</v>
      </c>
      <c r="D559" s="3" t="s">
        <v>699</v>
      </c>
      <c r="E559" s="4" t="s">
        <v>24</v>
      </c>
      <c r="F559" s="5">
        <v>8.6</v>
      </c>
      <c r="G559" s="5">
        <f>CPU!H993</f>
        <v>22.484903649589999</v>
      </c>
      <c r="H559" s="8">
        <f t="shared" si="43"/>
        <v>193.37017138647397</v>
      </c>
    </row>
    <row r="560" spans="2:8" s="1" customFormat="1" ht="38.25">
      <c r="B560" s="170" t="s">
        <v>2629</v>
      </c>
      <c r="C560" s="170" t="s">
        <v>840</v>
      </c>
      <c r="D560" s="3" t="s">
        <v>841</v>
      </c>
      <c r="E560" s="4" t="s">
        <v>15</v>
      </c>
      <c r="F560" s="5" t="s">
        <v>962</v>
      </c>
      <c r="G560" s="5">
        <v>15.33</v>
      </c>
      <c r="H560" s="8">
        <f t="shared" si="43"/>
        <v>7312.41</v>
      </c>
    </row>
    <row r="561" spans="2:8" s="1" customFormat="1" ht="38.25">
      <c r="B561" s="170" t="s">
        <v>2630</v>
      </c>
      <c r="C561" s="170" t="s">
        <v>842</v>
      </c>
      <c r="D561" s="3" t="s">
        <v>843</v>
      </c>
      <c r="E561" s="4" t="s">
        <v>15</v>
      </c>
      <c r="F561" s="5" t="s">
        <v>46</v>
      </c>
      <c r="G561" s="5">
        <v>19.760000000000002</v>
      </c>
      <c r="H561" s="8">
        <f t="shared" si="43"/>
        <v>316.16000000000003</v>
      </c>
    </row>
    <row r="562" spans="2:8" s="1" customFormat="1" ht="40.5" customHeight="1">
      <c r="B562" s="170" t="s">
        <v>2631</v>
      </c>
      <c r="C562" s="170" t="s">
        <v>963</v>
      </c>
      <c r="D562" s="3" t="s">
        <v>964</v>
      </c>
      <c r="E562" s="4" t="s">
        <v>37</v>
      </c>
      <c r="F562" s="5" t="s">
        <v>965</v>
      </c>
      <c r="G562" s="5">
        <v>17.75</v>
      </c>
      <c r="H562" s="8">
        <f t="shared" si="43"/>
        <v>2236.5</v>
      </c>
    </row>
    <row r="563" spans="2:8" s="1" customFormat="1" ht="39" customHeight="1">
      <c r="B563" s="170" t="s">
        <v>2632</v>
      </c>
      <c r="C563" s="170" t="s">
        <v>966</v>
      </c>
      <c r="D563" s="3" t="s">
        <v>967</v>
      </c>
      <c r="E563" s="4" t="s">
        <v>37</v>
      </c>
      <c r="F563" s="5" t="s">
        <v>49</v>
      </c>
      <c r="G563" s="5">
        <v>21.14</v>
      </c>
      <c r="H563" s="8">
        <f t="shared" si="43"/>
        <v>84.56</v>
      </c>
    </row>
    <row r="564" spans="2:8" s="1" customFormat="1" ht="25.5">
      <c r="B564" s="170" t="s">
        <v>2633</v>
      </c>
      <c r="C564" s="170" t="s">
        <v>849</v>
      </c>
      <c r="D564" s="3" t="s">
        <v>850</v>
      </c>
      <c r="E564" s="4" t="s">
        <v>15</v>
      </c>
      <c r="F564" s="5" t="s">
        <v>968</v>
      </c>
      <c r="G564" s="5">
        <v>20.12</v>
      </c>
      <c r="H564" s="8">
        <f t="shared" si="43"/>
        <v>1649.8400000000001</v>
      </c>
    </row>
    <row r="565" spans="2:8" s="1" customFormat="1" ht="25.5">
      <c r="B565" s="170" t="s">
        <v>2634</v>
      </c>
      <c r="C565" s="170" t="s">
        <v>969</v>
      </c>
      <c r="D565" s="3" t="s">
        <v>970</v>
      </c>
      <c r="E565" s="4" t="s">
        <v>15</v>
      </c>
      <c r="F565" s="5" t="s">
        <v>971</v>
      </c>
      <c r="G565" s="5">
        <v>42.7</v>
      </c>
      <c r="H565" s="8">
        <f t="shared" si="43"/>
        <v>4013.8</v>
      </c>
    </row>
    <row r="566" spans="2:8" s="1" customFormat="1" ht="30" customHeight="1">
      <c r="B566" s="170" t="s">
        <v>2635</v>
      </c>
      <c r="C566" s="170" t="s">
        <v>854</v>
      </c>
      <c r="D566" s="3" t="s">
        <v>855</v>
      </c>
      <c r="E566" s="4" t="s">
        <v>37</v>
      </c>
      <c r="F566" s="5" t="s">
        <v>667</v>
      </c>
      <c r="G566" s="5">
        <v>23.95</v>
      </c>
      <c r="H566" s="8">
        <f t="shared" si="43"/>
        <v>311.34999999999997</v>
      </c>
    </row>
    <row r="567" spans="2:8" s="1" customFormat="1" ht="28.5" customHeight="1">
      <c r="B567" s="170" t="s">
        <v>2636</v>
      </c>
      <c r="C567" s="170" t="s">
        <v>972</v>
      </c>
      <c r="D567" s="3" t="s">
        <v>973</v>
      </c>
      <c r="E567" s="4" t="s">
        <v>37</v>
      </c>
      <c r="F567" s="5" t="s">
        <v>367</v>
      </c>
      <c r="G567" s="5">
        <v>55.59</v>
      </c>
      <c r="H567" s="8">
        <f t="shared" si="43"/>
        <v>111.18</v>
      </c>
    </row>
    <row r="568" spans="2:8" s="1" customFormat="1" ht="63.75">
      <c r="B568" s="170" t="s">
        <v>2637</v>
      </c>
      <c r="C568" s="170" t="s">
        <v>974</v>
      </c>
      <c r="D568" s="3" t="s">
        <v>975</v>
      </c>
      <c r="E568" s="4" t="s">
        <v>37</v>
      </c>
      <c r="F568" s="5" t="s">
        <v>367</v>
      </c>
      <c r="G568" s="5">
        <v>272.51</v>
      </c>
      <c r="H568" s="8">
        <f t="shared" si="43"/>
        <v>545.02</v>
      </c>
    </row>
    <row r="569" spans="2:8" s="134" customFormat="1" ht="15" customHeight="1">
      <c r="B569" s="169" t="s">
        <v>976</v>
      </c>
      <c r="C569" s="169"/>
      <c r="D569" s="187" t="s">
        <v>857</v>
      </c>
      <c r="E569" s="187"/>
      <c r="F569" s="187"/>
      <c r="G569" s="187"/>
      <c r="H569" s="190" t="s">
        <v>1154</v>
      </c>
    </row>
    <row r="570" spans="2:8" s="1" customFormat="1" ht="25.5">
      <c r="B570" s="170" t="s">
        <v>2638</v>
      </c>
      <c r="C570" s="170" t="s">
        <v>2139</v>
      </c>
      <c r="D570" s="136" t="s">
        <v>977</v>
      </c>
      <c r="E570" s="4" t="s">
        <v>15</v>
      </c>
      <c r="F570" s="5" t="s">
        <v>978</v>
      </c>
      <c r="G570" s="5">
        <f>CPU!H1486</f>
        <v>71.864999999999995</v>
      </c>
      <c r="H570" s="8">
        <f t="shared" si="43"/>
        <v>8336.34</v>
      </c>
    </row>
    <row r="571" spans="2:8" s="1" customFormat="1" ht="18" customHeight="1">
      <c r="B571" s="170" t="s">
        <v>2639</v>
      </c>
      <c r="C571" s="170" t="s">
        <v>2201</v>
      </c>
      <c r="D571" s="3" t="s">
        <v>2202</v>
      </c>
      <c r="E571" s="4" t="s">
        <v>15</v>
      </c>
      <c r="F571" s="5" t="s">
        <v>979</v>
      </c>
      <c r="G571" s="5">
        <v>4.58</v>
      </c>
      <c r="H571" s="8">
        <f t="shared" si="43"/>
        <v>490.06</v>
      </c>
    </row>
    <row r="572" spans="2:8" s="1" customFormat="1" ht="25.5" customHeight="1">
      <c r="B572" s="170" t="s">
        <v>2640</v>
      </c>
      <c r="C572" s="170" t="s">
        <v>980</v>
      </c>
      <c r="D572" s="3" t="s">
        <v>981</v>
      </c>
      <c r="E572" s="4" t="s">
        <v>15</v>
      </c>
      <c r="F572" s="5" t="s">
        <v>982</v>
      </c>
      <c r="G572" s="5">
        <v>20.52</v>
      </c>
      <c r="H572" s="8">
        <f t="shared" si="43"/>
        <v>2831.7599999999998</v>
      </c>
    </row>
    <row r="573" spans="2:8" s="1" customFormat="1" ht="38.25">
      <c r="B573" s="170" t="s">
        <v>2641</v>
      </c>
      <c r="C573" s="170" t="s">
        <v>983</v>
      </c>
      <c r="D573" s="3" t="s">
        <v>984</v>
      </c>
      <c r="E573" s="4" t="s">
        <v>15</v>
      </c>
      <c r="F573" s="5" t="s">
        <v>985</v>
      </c>
      <c r="G573" s="5">
        <v>8.43</v>
      </c>
      <c r="H573" s="8">
        <f t="shared" si="43"/>
        <v>18748.32</v>
      </c>
    </row>
    <row r="574" spans="2:8" s="134" customFormat="1" ht="15" customHeight="1">
      <c r="B574" s="170"/>
      <c r="C574" s="170"/>
      <c r="D574" s="193" t="s">
        <v>1191</v>
      </c>
      <c r="E574" s="194"/>
      <c r="F574" s="195"/>
      <c r="G574" s="195"/>
      <c r="H574" s="196">
        <f>SUM(H545:H573)</f>
        <v>59803.233257492298</v>
      </c>
    </row>
    <row r="575" spans="2:8" s="134" customFormat="1" ht="15" customHeight="1">
      <c r="B575" s="163" t="s">
        <v>986</v>
      </c>
      <c r="C575" s="163"/>
      <c r="D575" s="164" t="s">
        <v>987</v>
      </c>
      <c r="E575" s="164"/>
      <c r="F575" s="164"/>
      <c r="G575" s="164"/>
      <c r="H575" s="198" t="s">
        <v>1154</v>
      </c>
    </row>
    <row r="576" spans="2:8" s="134" customFormat="1" ht="15" customHeight="1">
      <c r="B576" s="169" t="s">
        <v>988</v>
      </c>
      <c r="C576" s="169"/>
      <c r="D576" s="187" t="s">
        <v>989</v>
      </c>
      <c r="E576" s="187"/>
      <c r="F576" s="187"/>
      <c r="G576" s="187"/>
      <c r="H576" s="190" t="s">
        <v>1154</v>
      </c>
    </row>
    <row r="577" spans="2:8" s="1" customFormat="1" ht="25.5">
      <c r="B577" s="170" t="s">
        <v>2642</v>
      </c>
      <c r="C577" s="170" t="s">
        <v>2140</v>
      </c>
      <c r="D577" s="136" t="s">
        <v>990</v>
      </c>
      <c r="E577" s="4" t="s">
        <v>37</v>
      </c>
      <c r="F577" s="5" t="s">
        <v>38</v>
      </c>
      <c r="G577" s="5">
        <f>CPU!H1491</f>
        <v>1174.596252</v>
      </c>
      <c r="H577" s="8">
        <f t="shared" si="43"/>
        <v>1174.596252</v>
      </c>
    </row>
    <row r="578" spans="2:8" s="134" customFormat="1" ht="15" customHeight="1">
      <c r="B578" s="169" t="s">
        <v>991</v>
      </c>
      <c r="C578" s="169"/>
      <c r="D578" s="187" t="s">
        <v>992</v>
      </c>
      <c r="E578" s="187"/>
      <c r="F578" s="187"/>
      <c r="G578" s="187"/>
      <c r="H578" s="190" t="s">
        <v>1154</v>
      </c>
    </row>
    <row r="579" spans="2:8" s="1" customFormat="1" ht="15" customHeight="1">
      <c r="B579" s="170" t="s">
        <v>2643</v>
      </c>
      <c r="C579" s="170" t="s">
        <v>993</v>
      </c>
      <c r="D579" s="136" t="s">
        <v>994</v>
      </c>
      <c r="E579" s="4" t="s">
        <v>37</v>
      </c>
      <c r="F579" s="5" t="s">
        <v>614</v>
      </c>
      <c r="G579" s="195">
        <v>283.26</v>
      </c>
      <c r="H579" s="8">
        <f t="shared" ref="H579:H597" si="44">F579*G579</f>
        <v>5948.46</v>
      </c>
    </row>
    <row r="580" spans="2:8" s="1" customFormat="1" ht="15" customHeight="1">
      <c r="B580" s="170" t="s">
        <v>2644</v>
      </c>
      <c r="C580" s="170" t="s">
        <v>995</v>
      </c>
      <c r="D580" s="136" t="s">
        <v>996</v>
      </c>
      <c r="E580" s="4" t="s">
        <v>37</v>
      </c>
      <c r="F580" s="5" t="s">
        <v>289</v>
      </c>
      <c r="G580" s="195">
        <v>192.23</v>
      </c>
      <c r="H580" s="8">
        <f t="shared" si="44"/>
        <v>4229.0599999999995</v>
      </c>
    </row>
    <row r="581" spans="2:8" s="1" customFormat="1" ht="15" customHeight="1">
      <c r="B581" s="170" t="s">
        <v>2645</v>
      </c>
      <c r="C581" s="170" t="s">
        <v>997</v>
      </c>
      <c r="D581" s="136" t="s">
        <v>998</v>
      </c>
      <c r="E581" s="4" t="s">
        <v>37</v>
      </c>
      <c r="F581" s="5" t="s">
        <v>611</v>
      </c>
      <c r="G581" s="195">
        <v>213.52</v>
      </c>
      <c r="H581" s="8">
        <f t="shared" si="44"/>
        <v>1708.16</v>
      </c>
    </row>
    <row r="582" spans="2:8" s="1" customFormat="1" ht="15" customHeight="1">
      <c r="B582" s="170" t="s">
        <v>2646</v>
      </c>
      <c r="C582" s="170" t="s">
        <v>999</v>
      </c>
      <c r="D582" s="136" t="s">
        <v>1000</v>
      </c>
      <c r="E582" s="4" t="s">
        <v>37</v>
      </c>
      <c r="F582" s="5" t="s">
        <v>607</v>
      </c>
      <c r="G582" s="195">
        <v>213.52</v>
      </c>
      <c r="H582" s="8">
        <f t="shared" si="44"/>
        <v>32028</v>
      </c>
    </row>
    <row r="583" spans="2:8" s="134" customFormat="1" ht="15" customHeight="1">
      <c r="B583" s="169" t="s">
        <v>1001</v>
      </c>
      <c r="C583" s="169"/>
      <c r="D583" s="187" t="s">
        <v>805</v>
      </c>
      <c r="E583" s="187"/>
      <c r="F583" s="187"/>
      <c r="G583" s="187"/>
      <c r="H583" s="190" t="s">
        <v>1154</v>
      </c>
    </row>
    <row r="584" spans="2:8" s="1" customFormat="1" ht="38.25">
      <c r="B584" s="170" t="s">
        <v>2647</v>
      </c>
      <c r="C584" s="170" t="s">
        <v>2194</v>
      </c>
      <c r="D584" s="3" t="s">
        <v>699</v>
      </c>
      <c r="E584" s="4" t="s">
        <v>24</v>
      </c>
      <c r="F584" s="5" t="s">
        <v>978</v>
      </c>
      <c r="G584" s="5">
        <f>CPU!H981</f>
        <v>0</v>
      </c>
      <c r="H584" s="8">
        <f t="shared" si="44"/>
        <v>0</v>
      </c>
    </row>
    <row r="585" spans="2:8" s="1" customFormat="1" ht="38.25">
      <c r="B585" s="170" t="s">
        <v>2648</v>
      </c>
      <c r="C585" s="170" t="s">
        <v>840</v>
      </c>
      <c r="D585" s="3" t="s">
        <v>841</v>
      </c>
      <c r="E585" s="4" t="s">
        <v>15</v>
      </c>
      <c r="F585" s="5" t="s">
        <v>700</v>
      </c>
      <c r="G585" s="5">
        <v>15.33</v>
      </c>
      <c r="H585" s="8">
        <f t="shared" si="44"/>
        <v>1119.0899999999999</v>
      </c>
    </row>
    <row r="586" spans="2:8" s="1" customFormat="1" ht="38.25">
      <c r="B586" s="170" t="s">
        <v>2649</v>
      </c>
      <c r="C586" s="170" t="s">
        <v>842</v>
      </c>
      <c r="D586" s="3" t="s">
        <v>843</v>
      </c>
      <c r="E586" s="4" t="s">
        <v>15</v>
      </c>
      <c r="F586" s="5" t="s">
        <v>1002</v>
      </c>
      <c r="G586" s="5">
        <v>19.760000000000002</v>
      </c>
      <c r="H586" s="8">
        <f t="shared" si="44"/>
        <v>1482.0000000000002</v>
      </c>
    </row>
    <row r="587" spans="2:8" s="1" customFormat="1" ht="39.75" customHeight="1">
      <c r="B587" s="170" t="s">
        <v>2650</v>
      </c>
      <c r="C587" s="170" t="s">
        <v>963</v>
      </c>
      <c r="D587" s="3" t="s">
        <v>964</v>
      </c>
      <c r="E587" s="4" t="s">
        <v>37</v>
      </c>
      <c r="F587" s="5" t="s">
        <v>593</v>
      </c>
      <c r="G587" s="5">
        <v>17.75</v>
      </c>
      <c r="H587" s="8">
        <f t="shared" si="44"/>
        <v>124.25</v>
      </c>
    </row>
    <row r="588" spans="2:8" s="1" customFormat="1" ht="40.5" customHeight="1">
      <c r="B588" s="170" t="s">
        <v>2651</v>
      </c>
      <c r="C588" s="170" t="s">
        <v>966</v>
      </c>
      <c r="D588" s="3" t="s">
        <v>967</v>
      </c>
      <c r="E588" s="4" t="s">
        <v>37</v>
      </c>
      <c r="F588" s="5" t="s">
        <v>575</v>
      </c>
      <c r="G588" s="5">
        <v>21.14</v>
      </c>
      <c r="H588" s="8">
        <f t="shared" si="44"/>
        <v>190.26</v>
      </c>
    </row>
    <row r="589" spans="2:8" s="1" customFormat="1" ht="41.25" customHeight="1">
      <c r="B589" s="170" t="s">
        <v>2652</v>
      </c>
      <c r="C589" s="170" t="s">
        <v>1003</v>
      </c>
      <c r="D589" s="3" t="s">
        <v>1004</v>
      </c>
      <c r="E589" s="4" t="s">
        <v>15</v>
      </c>
      <c r="F589" s="5" t="s">
        <v>1005</v>
      </c>
      <c r="G589" s="432">
        <f>29.22*1.2173</f>
        <v>35.569505999999997</v>
      </c>
      <c r="H589" s="8">
        <f t="shared" si="44"/>
        <v>33933.308723999995</v>
      </c>
    </row>
    <row r="590" spans="2:8" s="1" customFormat="1" ht="38.25">
      <c r="B590" s="170" t="s">
        <v>2653</v>
      </c>
      <c r="C590" s="170" t="s">
        <v>1006</v>
      </c>
      <c r="D590" s="3" t="s">
        <v>1007</v>
      </c>
      <c r="E590" s="4" t="s">
        <v>15</v>
      </c>
      <c r="F590" s="5" t="s">
        <v>1008</v>
      </c>
      <c r="G590" s="432">
        <f>34.72*1.2173</f>
        <v>42.264656000000002</v>
      </c>
      <c r="H590" s="8">
        <f t="shared" si="44"/>
        <v>17117.185680000002</v>
      </c>
    </row>
    <row r="591" spans="2:8" s="1" customFormat="1" ht="37.5" customHeight="1">
      <c r="B591" s="170" t="s">
        <v>2654</v>
      </c>
      <c r="C591" s="170" t="s">
        <v>1009</v>
      </c>
      <c r="D591" s="3" t="s">
        <v>1010</v>
      </c>
      <c r="E591" s="4" t="s">
        <v>15</v>
      </c>
      <c r="F591" s="5" t="s">
        <v>1011</v>
      </c>
      <c r="G591" s="432">
        <f>53.9*1.2173</f>
        <v>65.612470000000002</v>
      </c>
      <c r="H591" s="8">
        <f t="shared" si="44"/>
        <v>4855.3227800000004</v>
      </c>
    </row>
    <row r="592" spans="2:8" s="1" customFormat="1" ht="38.25" customHeight="1">
      <c r="B592" s="170" t="s">
        <v>2655</v>
      </c>
      <c r="C592" s="170" t="s">
        <v>1012</v>
      </c>
      <c r="D592" s="3" t="s">
        <v>1013</v>
      </c>
      <c r="E592" s="4" t="s">
        <v>37</v>
      </c>
      <c r="F592" s="5" t="s">
        <v>1014</v>
      </c>
      <c r="G592" s="5">
        <v>29.28</v>
      </c>
      <c r="H592" s="8">
        <f t="shared" si="44"/>
        <v>4099.2</v>
      </c>
    </row>
    <row r="593" spans="2:8" s="1" customFormat="1" ht="38.25" customHeight="1">
      <c r="B593" s="170" t="s">
        <v>2656</v>
      </c>
      <c r="C593" s="170" t="s">
        <v>1015</v>
      </c>
      <c r="D593" s="3" t="s">
        <v>1016</v>
      </c>
      <c r="E593" s="4" t="s">
        <v>37</v>
      </c>
      <c r="F593" s="5" t="s">
        <v>913</v>
      </c>
      <c r="G593" s="5">
        <v>41.13</v>
      </c>
      <c r="H593" s="8">
        <f t="shared" si="44"/>
        <v>5552.55</v>
      </c>
    </row>
    <row r="594" spans="2:8" s="1" customFormat="1" ht="42" customHeight="1">
      <c r="B594" s="170" t="s">
        <v>2657</v>
      </c>
      <c r="C594" s="170" t="s">
        <v>1017</v>
      </c>
      <c r="D594" s="3" t="s">
        <v>1018</v>
      </c>
      <c r="E594" s="4" t="s">
        <v>37</v>
      </c>
      <c r="F594" s="5" t="s">
        <v>583</v>
      </c>
      <c r="G594" s="5">
        <v>56.88</v>
      </c>
      <c r="H594" s="8">
        <f t="shared" si="44"/>
        <v>341.28000000000003</v>
      </c>
    </row>
    <row r="595" spans="2:8" s="134" customFormat="1" ht="15" customHeight="1">
      <c r="B595" s="169" t="s">
        <v>1019</v>
      </c>
      <c r="C595" s="169"/>
      <c r="D595" s="187" t="s">
        <v>857</v>
      </c>
      <c r="E595" s="187"/>
      <c r="F595" s="187"/>
      <c r="G595" s="187"/>
      <c r="H595" s="190" t="s">
        <v>1154</v>
      </c>
    </row>
    <row r="596" spans="2:8" s="1" customFormat="1" ht="25.5">
      <c r="B596" s="170" t="s">
        <v>2658</v>
      </c>
      <c r="C596" s="170" t="s">
        <v>2142</v>
      </c>
      <c r="D596" s="136" t="s">
        <v>1020</v>
      </c>
      <c r="E596" s="4" t="s">
        <v>15</v>
      </c>
      <c r="F596" s="5" t="s">
        <v>1021</v>
      </c>
      <c r="G596" s="5">
        <f>CPU!H1497</f>
        <v>8.0640000000000001</v>
      </c>
      <c r="H596" s="8">
        <f t="shared" si="44"/>
        <v>4548.0960000000005</v>
      </c>
    </row>
    <row r="597" spans="2:8" s="1" customFormat="1" ht="25.5">
      <c r="B597" s="170" t="s">
        <v>2659</v>
      </c>
      <c r="C597" s="170" t="s">
        <v>2143</v>
      </c>
      <c r="D597" s="136" t="s">
        <v>1022</v>
      </c>
      <c r="E597" s="4" t="s">
        <v>15</v>
      </c>
      <c r="F597" s="5" t="s">
        <v>1023</v>
      </c>
      <c r="G597" s="5">
        <f>CPU!H1503</f>
        <v>9.3659999999999997</v>
      </c>
      <c r="H597" s="8">
        <f t="shared" si="44"/>
        <v>8616.7199999999993</v>
      </c>
    </row>
    <row r="598" spans="2:8" s="134" customFormat="1" ht="15" customHeight="1">
      <c r="B598" s="169" t="s">
        <v>1024</v>
      </c>
      <c r="C598" s="169"/>
      <c r="D598" s="187" t="s">
        <v>1025</v>
      </c>
      <c r="E598" s="187"/>
      <c r="F598" s="187"/>
      <c r="G598" s="187"/>
      <c r="H598" s="190" t="s">
        <v>1154</v>
      </c>
    </row>
    <row r="599" spans="2:8" s="1" customFormat="1" ht="25.5">
      <c r="B599" s="170" t="s">
        <v>2660</v>
      </c>
      <c r="C599" s="170" t="s">
        <v>2144</v>
      </c>
      <c r="D599" s="136" t="s">
        <v>1026</v>
      </c>
      <c r="E599" s="4" t="s">
        <v>37</v>
      </c>
      <c r="F599" s="5" t="s">
        <v>49</v>
      </c>
      <c r="G599" s="5">
        <f>CPU!H1509</f>
        <v>217.95839100000001</v>
      </c>
      <c r="H599" s="8">
        <f t="shared" ref="H599:H604" si="45">F599*G599</f>
        <v>871.83356400000002</v>
      </c>
    </row>
    <row r="600" spans="2:8" s="1" customFormat="1" ht="38.25">
      <c r="B600" s="170" t="s">
        <v>2661</v>
      </c>
      <c r="C600" s="170">
        <v>37556</v>
      </c>
      <c r="D600" s="3" t="s">
        <v>1027</v>
      </c>
      <c r="E600" s="4" t="s">
        <v>37</v>
      </c>
      <c r="F600" s="5" t="s">
        <v>1002</v>
      </c>
      <c r="G600" s="5">
        <v>23.13</v>
      </c>
      <c r="H600" s="8">
        <f t="shared" si="45"/>
        <v>1734.75</v>
      </c>
    </row>
    <row r="601" spans="2:8" s="1" customFormat="1" ht="51">
      <c r="B601" s="170" t="s">
        <v>2662</v>
      </c>
      <c r="C601" s="170">
        <v>37559</v>
      </c>
      <c r="D601" s="3" t="s">
        <v>1028</v>
      </c>
      <c r="E601" s="4" t="s">
        <v>37</v>
      </c>
      <c r="F601" s="5" t="s">
        <v>49</v>
      </c>
      <c r="G601" s="5">
        <v>28.37</v>
      </c>
      <c r="H601" s="8">
        <f t="shared" si="45"/>
        <v>113.48</v>
      </c>
    </row>
    <row r="602" spans="2:8" s="1" customFormat="1" ht="38.25">
      <c r="B602" s="170" t="s">
        <v>2663</v>
      </c>
      <c r="C602" s="170">
        <v>37560</v>
      </c>
      <c r="D602" s="3" t="s">
        <v>1029</v>
      </c>
      <c r="E602" s="4" t="s">
        <v>37</v>
      </c>
      <c r="F602" s="5" t="s">
        <v>1030</v>
      </c>
      <c r="G602" s="5">
        <v>39.369999999999997</v>
      </c>
      <c r="H602" s="8">
        <f t="shared" si="45"/>
        <v>5275.58</v>
      </c>
    </row>
    <row r="603" spans="2:8" s="1" customFormat="1" ht="38.25">
      <c r="B603" s="170" t="s">
        <v>2664</v>
      </c>
      <c r="C603" s="170">
        <v>37561</v>
      </c>
      <c r="D603" s="3" t="s">
        <v>1031</v>
      </c>
      <c r="E603" s="4" t="s">
        <v>37</v>
      </c>
      <c r="F603" s="5" t="s">
        <v>583</v>
      </c>
      <c r="G603" s="432">
        <f>63.25*1.2173</f>
        <v>76.994225</v>
      </c>
      <c r="H603" s="8">
        <f t="shared" si="45"/>
        <v>461.96535</v>
      </c>
    </row>
    <row r="604" spans="2:8" s="1" customFormat="1" ht="25.5">
      <c r="B604" s="170" t="s">
        <v>2665</v>
      </c>
      <c r="C604" s="170" t="s">
        <v>911</v>
      </c>
      <c r="D604" s="3" t="s">
        <v>912</v>
      </c>
      <c r="E604" s="4" t="s">
        <v>37</v>
      </c>
      <c r="F604" s="5" t="s">
        <v>913</v>
      </c>
      <c r="G604" s="5">
        <v>26.87</v>
      </c>
      <c r="H604" s="8">
        <f t="shared" si="45"/>
        <v>3627.4500000000003</v>
      </c>
    </row>
    <row r="605" spans="2:8" s="1" customFormat="1" ht="15" customHeight="1">
      <c r="B605" s="170"/>
      <c r="C605" s="170"/>
      <c r="D605" s="193" t="s">
        <v>1192</v>
      </c>
      <c r="E605" s="194"/>
      <c r="F605" s="195"/>
      <c r="G605" s="195"/>
      <c r="H605" s="196">
        <f>SUM(H577:H604)</f>
        <v>139152.59835000001</v>
      </c>
    </row>
    <row r="606" spans="2:8" s="134" customFormat="1" ht="20.100000000000001" customHeight="1">
      <c r="B606" s="172"/>
      <c r="C606" s="178"/>
      <c r="D606" s="179" t="s">
        <v>2792</v>
      </c>
      <c r="E606" s="180"/>
      <c r="F606" s="181"/>
      <c r="G606" s="181"/>
      <c r="H606" s="182">
        <f>H518+H537+H542+H574+H605</f>
        <v>1252304.1682326694</v>
      </c>
    </row>
    <row r="607" spans="2:8" s="134" customFormat="1" ht="20.100000000000001" customHeight="1">
      <c r="B607" s="176" t="s">
        <v>1032</v>
      </c>
      <c r="C607" s="176"/>
      <c r="D607" s="204" t="s">
        <v>1033</v>
      </c>
      <c r="E607" s="204"/>
      <c r="F607" s="204"/>
      <c r="G607" s="204"/>
      <c r="H607" s="205" t="s">
        <v>1154</v>
      </c>
    </row>
    <row r="608" spans="2:8" s="134" customFormat="1" ht="15" customHeight="1">
      <c r="B608" s="163" t="s">
        <v>1870</v>
      </c>
      <c r="C608" s="163"/>
      <c r="D608" s="164" t="s">
        <v>1871</v>
      </c>
      <c r="E608" s="164"/>
      <c r="F608" s="164"/>
      <c r="G608" s="164"/>
      <c r="H608" s="198" t="s">
        <v>1154</v>
      </c>
    </row>
    <row r="609" spans="2:8" s="134" customFormat="1" ht="15" customHeight="1">
      <c r="B609" s="169" t="s">
        <v>1872</v>
      </c>
      <c r="C609" s="169"/>
      <c r="D609" s="187" t="s">
        <v>1873</v>
      </c>
      <c r="E609" s="187"/>
      <c r="F609" s="187"/>
      <c r="G609" s="187"/>
      <c r="H609" s="190" t="s">
        <v>1154</v>
      </c>
    </row>
    <row r="610" spans="2:8" s="1" customFormat="1" ht="51.75" customHeight="1">
      <c r="B610" s="170" t="s">
        <v>2666</v>
      </c>
      <c r="C610" s="170" t="s">
        <v>1874</v>
      </c>
      <c r="D610" s="3" t="s">
        <v>1875</v>
      </c>
      <c r="E610" s="4" t="s">
        <v>15</v>
      </c>
      <c r="F610" s="5">
        <v>365</v>
      </c>
      <c r="G610" s="5">
        <v>55.85</v>
      </c>
      <c r="H610" s="8">
        <f t="shared" ref="H610:H611" si="46">F610*G610</f>
        <v>20385.25</v>
      </c>
    </row>
    <row r="611" spans="2:8" s="1" customFormat="1" ht="51.75" customHeight="1">
      <c r="B611" s="170" t="s">
        <v>2667</v>
      </c>
      <c r="C611" s="170" t="s">
        <v>1876</v>
      </c>
      <c r="D611" s="3" t="s">
        <v>1877</v>
      </c>
      <c r="E611" s="4" t="s">
        <v>15</v>
      </c>
      <c r="F611" s="5">
        <v>365</v>
      </c>
      <c r="G611" s="5">
        <v>85.2</v>
      </c>
      <c r="H611" s="8">
        <f t="shared" si="46"/>
        <v>31098</v>
      </c>
    </row>
    <row r="612" spans="2:8" s="134" customFormat="1" ht="15" customHeight="1">
      <c r="B612" s="170"/>
      <c r="C612" s="138"/>
      <c r="D612" s="193" t="s">
        <v>1878</v>
      </c>
      <c r="E612" s="194"/>
      <c r="F612" s="195"/>
      <c r="G612" s="195"/>
      <c r="H612" s="196">
        <f>SUM(H610:H611)</f>
        <v>51483.25</v>
      </c>
    </row>
    <row r="613" spans="2:8" s="134" customFormat="1" ht="15" customHeight="1">
      <c r="B613" s="163" t="s">
        <v>1034</v>
      </c>
      <c r="C613" s="163"/>
      <c r="D613" s="164" t="s">
        <v>1035</v>
      </c>
      <c r="E613" s="164"/>
      <c r="F613" s="164"/>
      <c r="G613" s="164"/>
      <c r="H613" s="198" t="s">
        <v>1154</v>
      </c>
    </row>
    <row r="614" spans="2:8" s="1" customFormat="1" ht="25.5" customHeight="1">
      <c r="B614" s="170" t="s">
        <v>2668</v>
      </c>
      <c r="C614" s="170" t="s">
        <v>2145</v>
      </c>
      <c r="D614" s="136" t="s">
        <v>1036</v>
      </c>
      <c r="E614" s="4" t="s">
        <v>663</v>
      </c>
      <c r="F614" s="5" t="s">
        <v>38</v>
      </c>
      <c r="G614" s="5">
        <f>CPU!H1522</f>
        <v>7162.1110300000009</v>
      </c>
      <c r="H614" s="8">
        <f t="shared" ref="H614:H616" si="47">F614*G614</f>
        <v>7162.1110300000009</v>
      </c>
    </row>
    <row r="615" spans="2:8" s="1" customFormat="1" ht="25.5" customHeight="1">
      <c r="B615" s="170" t="s">
        <v>2669</v>
      </c>
      <c r="C615" s="170" t="s">
        <v>2147</v>
      </c>
      <c r="D615" s="136" t="s">
        <v>1037</v>
      </c>
      <c r="E615" s="4" t="s">
        <v>15</v>
      </c>
      <c r="F615" s="5">
        <v>208</v>
      </c>
      <c r="G615" s="5">
        <f>CPU!H1529</f>
        <v>93.235600000000005</v>
      </c>
      <c r="H615" s="8">
        <f t="shared" si="47"/>
        <v>19393.004800000002</v>
      </c>
    </row>
    <row r="616" spans="2:8" s="1" customFormat="1" ht="25.5" customHeight="1">
      <c r="B616" s="170" t="s">
        <v>2670</v>
      </c>
      <c r="C616" s="170" t="s">
        <v>2148</v>
      </c>
      <c r="D616" s="137" t="s">
        <v>1879</v>
      </c>
      <c r="E616" s="96" t="s">
        <v>37</v>
      </c>
      <c r="F616" s="5">
        <v>10</v>
      </c>
      <c r="G616" s="5">
        <f>CPU!H1538</f>
        <v>333.97993300000002</v>
      </c>
      <c r="H616" s="8">
        <f t="shared" si="47"/>
        <v>3339.7993300000003</v>
      </c>
    </row>
    <row r="617" spans="2:8" s="134" customFormat="1" ht="15" customHeight="1">
      <c r="B617" s="305"/>
      <c r="C617" s="138"/>
      <c r="D617" s="193" t="s">
        <v>1193</v>
      </c>
      <c r="E617" s="194"/>
      <c r="F617" s="195"/>
      <c r="G617" s="195"/>
      <c r="H617" s="196">
        <f>SUM(H614:H616)</f>
        <v>29894.915160000004</v>
      </c>
    </row>
    <row r="618" spans="2:8" s="134" customFormat="1" ht="20.100000000000001" customHeight="1">
      <c r="B618" s="172"/>
      <c r="C618" s="178"/>
      <c r="D618" s="179" t="s">
        <v>2793</v>
      </c>
      <c r="E618" s="180"/>
      <c r="F618" s="181"/>
      <c r="G618" s="181"/>
      <c r="H618" s="182">
        <f>H612+H617</f>
        <v>81378.165160000004</v>
      </c>
    </row>
    <row r="619" spans="2:8" s="134" customFormat="1" ht="20.100000000000001" customHeight="1">
      <c r="B619" s="176" t="s">
        <v>1038</v>
      </c>
      <c r="C619" s="176"/>
      <c r="D619" s="204" t="s">
        <v>1039</v>
      </c>
      <c r="E619" s="204"/>
      <c r="F619" s="204"/>
      <c r="G619" s="204"/>
      <c r="H619" s="205" t="s">
        <v>1154</v>
      </c>
    </row>
    <row r="620" spans="2:8" s="134" customFormat="1" ht="15" customHeight="1">
      <c r="B620" s="163" t="s">
        <v>1040</v>
      </c>
      <c r="C620" s="163"/>
      <c r="D620" s="164" t="s">
        <v>1041</v>
      </c>
      <c r="E620" s="164"/>
      <c r="F620" s="164"/>
      <c r="G620" s="164"/>
      <c r="H620" s="198" t="s">
        <v>1154</v>
      </c>
    </row>
    <row r="621" spans="2:8" s="134" customFormat="1" ht="15" customHeight="1">
      <c r="B621" s="169" t="s">
        <v>1042</v>
      </c>
      <c r="C621" s="169"/>
      <c r="D621" s="187" t="s">
        <v>1043</v>
      </c>
      <c r="E621" s="187"/>
      <c r="F621" s="187"/>
      <c r="G621" s="187"/>
      <c r="H621" s="190" t="s">
        <v>1154</v>
      </c>
    </row>
    <row r="622" spans="2:8" s="1" customFormat="1" ht="25.5">
      <c r="B622" s="170" t="s">
        <v>2671</v>
      </c>
      <c r="C622" s="170" t="s">
        <v>2149</v>
      </c>
      <c r="D622" s="3" t="s">
        <v>1044</v>
      </c>
      <c r="E622" s="4" t="s">
        <v>15</v>
      </c>
      <c r="F622" s="5" t="s">
        <v>646</v>
      </c>
      <c r="G622" s="5">
        <f>CPU!H1545</f>
        <v>370.06422530869997</v>
      </c>
      <c r="H622" s="8">
        <f t="shared" ref="H622:H642" si="48">F622*G622</f>
        <v>127302.09350619279</v>
      </c>
    </row>
    <row r="623" spans="2:8" s="1" customFormat="1" ht="25.5">
      <c r="B623" s="170" t="s">
        <v>2672</v>
      </c>
      <c r="C623" s="170" t="s">
        <v>2150</v>
      </c>
      <c r="D623" s="3" t="s">
        <v>1045</v>
      </c>
      <c r="E623" s="4" t="s">
        <v>15</v>
      </c>
      <c r="F623" s="5" t="s">
        <v>311</v>
      </c>
      <c r="G623" s="5">
        <f>CPU!H1552</f>
        <v>558.58621974080006</v>
      </c>
      <c r="H623" s="8">
        <f t="shared" si="48"/>
        <v>13406.069273779201</v>
      </c>
    </row>
    <row r="624" spans="2:8" s="1" customFormat="1" ht="25.5">
      <c r="B624" s="170" t="s">
        <v>2673</v>
      </c>
      <c r="C624" s="170" t="s">
        <v>2151</v>
      </c>
      <c r="D624" s="136" t="s">
        <v>1046</v>
      </c>
      <c r="E624" s="4" t="s">
        <v>37</v>
      </c>
      <c r="F624" s="5" t="s">
        <v>1047</v>
      </c>
      <c r="G624" s="5">
        <f>CPU!H1558</f>
        <v>306.24178773</v>
      </c>
      <c r="H624" s="8">
        <f t="shared" si="48"/>
        <v>29399.211622080002</v>
      </c>
    </row>
    <row r="625" spans="2:8" s="1" customFormat="1" ht="25.5">
      <c r="B625" s="170" t="s">
        <v>2674</v>
      </c>
      <c r="C625" s="170" t="s">
        <v>2152</v>
      </c>
      <c r="D625" s="136" t="s">
        <v>1048</v>
      </c>
      <c r="E625" s="4" t="s">
        <v>37</v>
      </c>
      <c r="F625" s="5" t="s">
        <v>358</v>
      </c>
      <c r="G625" s="5">
        <f>CPU!H1564</f>
        <v>517.35041501499995</v>
      </c>
      <c r="H625" s="8">
        <f t="shared" si="48"/>
        <v>1552.0512450449999</v>
      </c>
    </row>
    <row r="626" spans="2:8" s="1" customFormat="1" ht="25.5">
      <c r="B626" s="170" t="s">
        <v>2675</v>
      </c>
      <c r="C626" s="170">
        <v>101934</v>
      </c>
      <c r="D626" s="3" t="s">
        <v>2834</v>
      </c>
      <c r="E626" s="4" t="s">
        <v>37</v>
      </c>
      <c r="F626" s="5" t="s">
        <v>25</v>
      </c>
      <c r="G626" s="5">
        <v>321.86</v>
      </c>
      <c r="H626" s="8">
        <f t="shared" si="48"/>
        <v>8690.2200000000012</v>
      </c>
    </row>
    <row r="627" spans="2:8" s="1" customFormat="1" ht="25.5">
      <c r="B627" s="170" t="s">
        <v>2676</v>
      </c>
      <c r="C627" s="170" t="s">
        <v>2203</v>
      </c>
      <c r="D627" s="3" t="s">
        <v>2835</v>
      </c>
      <c r="E627" s="4" t="s">
        <v>37</v>
      </c>
      <c r="F627" s="5" t="s">
        <v>49</v>
      </c>
      <c r="G627" s="5">
        <f>CPU!H1572</f>
        <v>1018.900699</v>
      </c>
      <c r="H627" s="8">
        <f t="shared" si="48"/>
        <v>4075.6027960000001</v>
      </c>
    </row>
    <row r="628" spans="2:8" s="1" customFormat="1" ht="38.25">
      <c r="B628" s="170" t="s">
        <v>2677</v>
      </c>
      <c r="C628" s="170" t="s">
        <v>2194</v>
      </c>
      <c r="D628" s="3" t="s">
        <v>699</v>
      </c>
      <c r="E628" s="4" t="s">
        <v>24</v>
      </c>
      <c r="F628" s="5" t="s">
        <v>1051</v>
      </c>
      <c r="G628" s="5">
        <f>CPU!H993</f>
        <v>22.484903649589999</v>
      </c>
      <c r="H628" s="8">
        <f t="shared" si="48"/>
        <v>7217.6540715183892</v>
      </c>
    </row>
    <row r="629" spans="2:8" s="1" customFormat="1" ht="51">
      <c r="B629" s="170" t="s">
        <v>2678</v>
      </c>
      <c r="C629" s="170" t="s">
        <v>1052</v>
      </c>
      <c r="D629" s="3" t="s">
        <v>1053</v>
      </c>
      <c r="E629" s="4" t="s">
        <v>37</v>
      </c>
      <c r="F629" s="5" t="s">
        <v>1054</v>
      </c>
      <c r="G629" s="5">
        <v>50.21</v>
      </c>
      <c r="H629" s="8">
        <f t="shared" si="48"/>
        <v>29925.16</v>
      </c>
    </row>
    <row r="630" spans="2:8" s="1" customFormat="1" ht="51" customHeight="1">
      <c r="B630" s="170" t="s">
        <v>2679</v>
      </c>
      <c r="C630" s="170" t="s">
        <v>2228</v>
      </c>
      <c r="D630" s="3" t="s">
        <v>1055</v>
      </c>
      <c r="E630" s="4" t="s">
        <v>15</v>
      </c>
      <c r="F630" s="5" t="s">
        <v>1056</v>
      </c>
      <c r="G630" s="5">
        <v>56.1</v>
      </c>
      <c r="H630" s="8">
        <f t="shared" si="48"/>
        <v>64515</v>
      </c>
    </row>
    <row r="631" spans="2:8" s="1" customFormat="1" ht="51.75" customHeight="1">
      <c r="B631" s="170" t="s">
        <v>2680</v>
      </c>
      <c r="C631" s="170" t="s">
        <v>1057</v>
      </c>
      <c r="D631" s="3" t="s">
        <v>1058</v>
      </c>
      <c r="E631" s="4" t="s">
        <v>15</v>
      </c>
      <c r="F631" s="5" t="s">
        <v>289</v>
      </c>
      <c r="G631" s="5">
        <v>68.319999999999993</v>
      </c>
      <c r="H631" s="8">
        <f t="shared" si="48"/>
        <v>1503.04</v>
      </c>
    </row>
    <row r="632" spans="2:8" s="1" customFormat="1" ht="50.25" customHeight="1">
      <c r="B632" s="170" t="s">
        <v>2681</v>
      </c>
      <c r="C632" s="170" t="s">
        <v>1059</v>
      </c>
      <c r="D632" s="3" t="s">
        <v>1060</v>
      </c>
      <c r="E632" s="4" t="s">
        <v>15</v>
      </c>
      <c r="F632" s="5" t="s">
        <v>1014</v>
      </c>
      <c r="G632" s="5">
        <v>78.11</v>
      </c>
      <c r="H632" s="8">
        <f t="shared" si="48"/>
        <v>10935.4</v>
      </c>
    </row>
    <row r="633" spans="2:8" s="1" customFormat="1" ht="52.5" customHeight="1">
      <c r="B633" s="170" t="s">
        <v>2682</v>
      </c>
      <c r="C633" s="170" t="s">
        <v>1061</v>
      </c>
      <c r="D633" s="3" t="s">
        <v>1062</v>
      </c>
      <c r="E633" s="4" t="s">
        <v>15</v>
      </c>
      <c r="F633" s="5" t="s">
        <v>1063</v>
      </c>
      <c r="G633" s="5">
        <v>107.72</v>
      </c>
      <c r="H633" s="8">
        <f t="shared" si="48"/>
        <v>18635.560000000001</v>
      </c>
    </row>
    <row r="634" spans="2:8" s="1" customFormat="1" ht="51.75" customHeight="1">
      <c r="B634" s="170" t="s">
        <v>2683</v>
      </c>
      <c r="C634" s="170" t="s">
        <v>1064</v>
      </c>
      <c r="D634" s="3" t="s">
        <v>1065</v>
      </c>
      <c r="E634" s="4" t="s">
        <v>15</v>
      </c>
      <c r="F634" s="5" t="s">
        <v>1066</v>
      </c>
      <c r="G634" s="5">
        <v>131.69999999999999</v>
      </c>
      <c r="H634" s="8">
        <f t="shared" si="48"/>
        <v>31607.999999999996</v>
      </c>
    </row>
    <row r="635" spans="2:8" s="1" customFormat="1" ht="51" customHeight="1">
      <c r="B635" s="170" t="s">
        <v>2684</v>
      </c>
      <c r="C635" s="170" t="s">
        <v>1067</v>
      </c>
      <c r="D635" s="3" t="s">
        <v>1068</v>
      </c>
      <c r="E635" s="4" t="s">
        <v>15</v>
      </c>
      <c r="F635" s="5" t="s">
        <v>1069</v>
      </c>
      <c r="G635" s="5">
        <v>173.19</v>
      </c>
      <c r="H635" s="8">
        <f t="shared" si="48"/>
        <v>10045.02</v>
      </c>
    </row>
    <row r="636" spans="2:8" s="1" customFormat="1" ht="39" customHeight="1">
      <c r="B636" s="170" t="s">
        <v>2685</v>
      </c>
      <c r="C636" s="170" t="s">
        <v>1070</v>
      </c>
      <c r="D636" s="3" t="s">
        <v>1071</v>
      </c>
      <c r="E636" s="4" t="s">
        <v>37</v>
      </c>
      <c r="F636" s="5" t="s">
        <v>1072</v>
      </c>
      <c r="G636" s="5">
        <v>50.59</v>
      </c>
      <c r="H636" s="8">
        <f t="shared" si="48"/>
        <v>8650.8900000000012</v>
      </c>
    </row>
    <row r="637" spans="2:8" s="1" customFormat="1" ht="42" customHeight="1">
      <c r="B637" s="170" t="s">
        <v>2686</v>
      </c>
      <c r="C637" s="170" t="s">
        <v>1073</v>
      </c>
      <c r="D637" s="3" t="s">
        <v>1074</v>
      </c>
      <c r="E637" s="4" t="s">
        <v>37</v>
      </c>
      <c r="F637" s="5" t="s">
        <v>703</v>
      </c>
      <c r="G637" s="5">
        <v>169.57</v>
      </c>
      <c r="H637" s="8">
        <f t="shared" si="48"/>
        <v>10513.34</v>
      </c>
    </row>
    <row r="638" spans="2:8" s="1" customFormat="1" ht="63.75">
      <c r="B638" s="170" t="s">
        <v>2687</v>
      </c>
      <c r="C638" s="170" t="s">
        <v>1075</v>
      </c>
      <c r="D638" s="3" t="s">
        <v>1076</v>
      </c>
      <c r="E638" s="4" t="s">
        <v>37</v>
      </c>
      <c r="F638" s="5" t="s">
        <v>1077</v>
      </c>
      <c r="G638" s="5">
        <v>119.57</v>
      </c>
      <c r="H638" s="8">
        <f t="shared" si="48"/>
        <v>4782.7999999999993</v>
      </c>
    </row>
    <row r="639" spans="2:8" s="134" customFormat="1" ht="15" customHeight="1">
      <c r="B639" s="169" t="s">
        <v>1078</v>
      </c>
      <c r="C639" s="169"/>
      <c r="D639" s="187" t="s">
        <v>512</v>
      </c>
      <c r="E639" s="187"/>
      <c r="F639" s="187"/>
      <c r="G639" s="187"/>
      <c r="H639" s="190" t="s">
        <v>1154</v>
      </c>
    </row>
    <row r="640" spans="2:8" s="134" customFormat="1" ht="15" customHeight="1">
      <c r="B640" s="169" t="s">
        <v>1079</v>
      </c>
      <c r="C640" s="169"/>
      <c r="D640" s="187" t="s">
        <v>1080</v>
      </c>
      <c r="E640" s="187"/>
      <c r="F640" s="187"/>
      <c r="G640" s="187"/>
      <c r="H640" s="190" t="s">
        <v>1154</v>
      </c>
    </row>
    <row r="641" spans="2:8" s="1" customFormat="1" ht="18" customHeight="1">
      <c r="B641" s="170" t="s">
        <v>2688</v>
      </c>
      <c r="C641" s="170">
        <v>99626</v>
      </c>
      <c r="D641" s="136" t="s">
        <v>1081</v>
      </c>
      <c r="E641" s="4" t="s">
        <v>37</v>
      </c>
      <c r="F641" s="5" t="s">
        <v>593</v>
      </c>
      <c r="G641" s="5">
        <v>1135.76</v>
      </c>
      <c r="H641" s="8">
        <f t="shared" si="48"/>
        <v>7950.32</v>
      </c>
    </row>
    <row r="642" spans="2:8" s="1" customFormat="1" ht="25.5">
      <c r="B642" s="170" t="s">
        <v>2689</v>
      </c>
      <c r="C642" s="170" t="s">
        <v>2156</v>
      </c>
      <c r="D642" s="136" t="s">
        <v>1082</v>
      </c>
      <c r="E642" s="4" t="s">
        <v>37</v>
      </c>
      <c r="F642" s="5" t="s">
        <v>38</v>
      </c>
      <c r="G642" s="5">
        <f>CPU!H1579</f>
        <v>1144.2126335196001</v>
      </c>
      <c r="H642" s="8">
        <f t="shared" si="48"/>
        <v>1144.2126335196001</v>
      </c>
    </row>
    <row r="643" spans="2:8" s="134" customFormat="1" ht="15" customHeight="1">
      <c r="B643" s="169" t="s">
        <v>1083</v>
      </c>
      <c r="C643" s="169"/>
      <c r="D643" s="187" t="s">
        <v>1084</v>
      </c>
      <c r="E643" s="187"/>
      <c r="F643" s="187"/>
      <c r="G643" s="187"/>
      <c r="H643" s="190" t="s">
        <v>1154</v>
      </c>
    </row>
    <row r="644" spans="2:8" s="1" customFormat="1" ht="25.5">
      <c r="B644" s="170" t="s">
        <v>2690</v>
      </c>
      <c r="C644" s="170" t="s">
        <v>2229</v>
      </c>
      <c r="D644" s="3" t="s">
        <v>1085</v>
      </c>
      <c r="E644" s="4" t="s">
        <v>37</v>
      </c>
      <c r="F644" s="5" t="s">
        <v>367</v>
      </c>
      <c r="G644" s="5">
        <v>3439.3</v>
      </c>
      <c r="H644" s="8">
        <f t="shared" ref="H644:H656" si="49">F644*G644</f>
        <v>6878.6</v>
      </c>
    </row>
    <row r="645" spans="2:8" s="134" customFormat="1" ht="15" customHeight="1">
      <c r="B645" s="169" t="s">
        <v>1086</v>
      </c>
      <c r="C645" s="169"/>
      <c r="D645" s="187" t="s">
        <v>1087</v>
      </c>
      <c r="E645" s="187"/>
      <c r="F645" s="187"/>
      <c r="G645" s="187"/>
      <c r="H645" s="190" t="s">
        <v>1154</v>
      </c>
    </row>
    <row r="646" spans="2:8" s="1" customFormat="1" ht="63.75">
      <c r="B646" s="170" t="s">
        <v>2691</v>
      </c>
      <c r="C646" s="170" t="s">
        <v>1088</v>
      </c>
      <c r="D646" s="3" t="s">
        <v>1089</v>
      </c>
      <c r="E646" s="4" t="s">
        <v>37</v>
      </c>
      <c r="F646" s="5" t="s">
        <v>614</v>
      </c>
      <c r="G646" s="5">
        <v>1348.17</v>
      </c>
      <c r="H646" s="8">
        <f t="shared" si="49"/>
        <v>28311.57</v>
      </c>
    </row>
    <row r="647" spans="2:8" s="134" customFormat="1" ht="15" customHeight="1">
      <c r="B647" s="169" t="s">
        <v>1090</v>
      </c>
      <c r="C647" s="169"/>
      <c r="D647" s="187" t="s">
        <v>1091</v>
      </c>
      <c r="E647" s="187"/>
      <c r="F647" s="187"/>
      <c r="G647" s="187"/>
      <c r="H647" s="190" t="s">
        <v>1154</v>
      </c>
    </row>
    <row r="648" spans="2:8" s="1" customFormat="1" ht="25.5">
      <c r="B648" s="170" t="s">
        <v>2692</v>
      </c>
      <c r="C648" s="170" t="s">
        <v>2230</v>
      </c>
      <c r="D648" s="3" t="s">
        <v>1092</v>
      </c>
      <c r="E648" s="4" t="s">
        <v>37</v>
      </c>
      <c r="F648" s="5" t="s">
        <v>905</v>
      </c>
      <c r="G648" s="5">
        <v>247.31</v>
      </c>
      <c r="H648" s="8">
        <f t="shared" si="49"/>
        <v>7171.99</v>
      </c>
    </row>
    <row r="649" spans="2:8" s="134" customFormat="1" ht="15" customHeight="1">
      <c r="B649" s="169" t="s">
        <v>1093</v>
      </c>
      <c r="C649" s="169"/>
      <c r="D649" s="187" t="s">
        <v>1094</v>
      </c>
      <c r="E649" s="187"/>
      <c r="F649" s="187"/>
      <c r="G649" s="187"/>
      <c r="H649" s="188"/>
    </row>
    <row r="650" spans="2:8" s="1" customFormat="1" ht="25.5">
      <c r="B650" s="170" t="s">
        <v>2693</v>
      </c>
      <c r="C650" s="170" t="s">
        <v>2157</v>
      </c>
      <c r="D650" s="136" t="s">
        <v>1095</v>
      </c>
      <c r="E650" s="4" t="s">
        <v>37</v>
      </c>
      <c r="F650" s="5" t="s">
        <v>38</v>
      </c>
      <c r="G650" s="5">
        <f>CPU!H1595</f>
        <v>17623.229081000001</v>
      </c>
      <c r="H650" s="8">
        <f t="shared" si="49"/>
        <v>17623.229081000001</v>
      </c>
    </row>
    <row r="651" spans="2:8" s="1" customFormat="1" ht="25.5" customHeight="1">
      <c r="B651" s="170" t="s">
        <v>2694</v>
      </c>
      <c r="C651" s="170" t="s">
        <v>2158</v>
      </c>
      <c r="D651" s="136" t="s">
        <v>1096</v>
      </c>
      <c r="E651" s="4" t="s">
        <v>37</v>
      </c>
      <c r="F651" s="5" t="s">
        <v>38</v>
      </c>
      <c r="G651" s="5">
        <f>CPU!H1611</f>
        <v>17623.229081000001</v>
      </c>
      <c r="H651" s="8">
        <f t="shared" si="49"/>
        <v>17623.229081000001</v>
      </c>
    </row>
    <row r="652" spans="2:8" s="1" customFormat="1" ht="25.5">
      <c r="B652" s="170" t="s">
        <v>2695</v>
      </c>
      <c r="C652" s="170" t="s">
        <v>2159</v>
      </c>
      <c r="D652" s="136" t="s">
        <v>1097</v>
      </c>
      <c r="E652" s="4" t="s">
        <v>37</v>
      </c>
      <c r="F652" s="5" t="s">
        <v>38</v>
      </c>
      <c r="G652" s="5">
        <f>CPU!H1627</f>
        <v>3828.6135810000005</v>
      </c>
      <c r="H652" s="8">
        <f t="shared" si="49"/>
        <v>3828.6135810000005</v>
      </c>
    </row>
    <row r="653" spans="2:8" s="1" customFormat="1" ht="18" customHeight="1">
      <c r="B653" s="170" t="s">
        <v>2696</v>
      </c>
      <c r="C653" s="170" t="s">
        <v>2832</v>
      </c>
      <c r="D653" s="136" t="s">
        <v>1098</v>
      </c>
      <c r="E653" s="4" t="s">
        <v>37</v>
      </c>
      <c r="F653" s="5" t="s">
        <v>358</v>
      </c>
      <c r="G653" s="195">
        <v>164.03</v>
      </c>
      <c r="H653" s="8">
        <f t="shared" si="49"/>
        <v>492.09000000000003</v>
      </c>
    </row>
    <row r="654" spans="2:8" s="1" customFormat="1" ht="18" customHeight="1">
      <c r="B654" s="170" t="s">
        <v>2697</v>
      </c>
      <c r="C654" s="170" t="s">
        <v>2833</v>
      </c>
      <c r="D654" s="136" t="s">
        <v>1099</v>
      </c>
      <c r="E654" s="4" t="s">
        <v>37</v>
      </c>
      <c r="F654" s="5" t="s">
        <v>38</v>
      </c>
      <c r="G654" s="195">
        <v>1509.97</v>
      </c>
      <c r="H654" s="8">
        <f t="shared" si="49"/>
        <v>1509.97</v>
      </c>
    </row>
    <row r="655" spans="2:8" s="1" customFormat="1" ht="25.5">
      <c r="B655" s="170" t="s">
        <v>2698</v>
      </c>
      <c r="C655" s="170" t="s">
        <v>2160</v>
      </c>
      <c r="D655" s="136" t="s">
        <v>1100</v>
      </c>
      <c r="E655" s="4" t="s">
        <v>37</v>
      </c>
      <c r="F655" s="5" t="s">
        <v>367</v>
      </c>
      <c r="G655" s="5">
        <f>CPU!H1633</f>
        <v>3389.3714490000002</v>
      </c>
      <c r="H655" s="8">
        <f t="shared" si="49"/>
        <v>6778.7428980000004</v>
      </c>
    </row>
    <row r="656" spans="2:8" s="1" customFormat="1" ht="25.5">
      <c r="B656" s="170" t="s">
        <v>2699</v>
      </c>
      <c r="C656" s="170" t="s">
        <v>2231</v>
      </c>
      <c r="D656" s="3" t="s">
        <v>1101</v>
      </c>
      <c r="E656" s="4" t="s">
        <v>37</v>
      </c>
      <c r="F656" s="5" t="s">
        <v>583</v>
      </c>
      <c r="G656" s="5">
        <v>147.72999999999999</v>
      </c>
      <c r="H656" s="8">
        <f t="shared" si="49"/>
        <v>886.37999999999988</v>
      </c>
    </row>
    <row r="657" spans="2:8" s="134" customFormat="1" ht="15" customHeight="1">
      <c r="B657" s="169" t="s">
        <v>1102</v>
      </c>
      <c r="C657" s="169"/>
      <c r="D657" s="187" t="s">
        <v>1103</v>
      </c>
      <c r="E657" s="187"/>
      <c r="F657" s="187"/>
      <c r="G657" s="187"/>
      <c r="H657" s="190" t="s">
        <v>1154</v>
      </c>
    </row>
    <row r="658" spans="2:8" s="1" customFormat="1" ht="25.5">
      <c r="B658" s="170" t="s">
        <v>2700</v>
      </c>
      <c r="C658" s="170" t="s">
        <v>1104</v>
      </c>
      <c r="D658" s="3" t="s">
        <v>1105</v>
      </c>
      <c r="E658" s="4" t="s">
        <v>37</v>
      </c>
      <c r="F658" s="5" t="s">
        <v>1106</v>
      </c>
      <c r="G658" s="5">
        <v>43.97</v>
      </c>
      <c r="H658" s="8">
        <f t="shared" ref="H658:H667" si="50">F658*G658</f>
        <v>24315.41</v>
      </c>
    </row>
    <row r="659" spans="2:8" s="134" customFormat="1" ht="20.100000000000001" customHeight="1">
      <c r="B659" s="172"/>
      <c r="C659" s="178"/>
      <c r="D659" s="179" t="s">
        <v>1194</v>
      </c>
      <c r="E659" s="180"/>
      <c r="F659" s="181"/>
      <c r="G659" s="181"/>
      <c r="H659" s="182">
        <f>SUM(H622:H658)</f>
        <v>507271.46978913504</v>
      </c>
    </row>
    <row r="660" spans="2:8" s="134" customFormat="1" ht="20.100000000000001" customHeight="1">
      <c r="B660" s="176" t="s">
        <v>1107</v>
      </c>
      <c r="C660" s="176"/>
      <c r="D660" s="204" t="s">
        <v>1108</v>
      </c>
      <c r="E660" s="204"/>
      <c r="F660" s="204"/>
      <c r="G660" s="204"/>
      <c r="H660" s="205" t="s">
        <v>1154</v>
      </c>
    </row>
    <row r="661" spans="2:8" s="134" customFormat="1" ht="15" customHeight="1">
      <c r="B661" s="163" t="s">
        <v>2701</v>
      </c>
      <c r="C661" s="163"/>
      <c r="D661" s="164" t="s">
        <v>1109</v>
      </c>
      <c r="E661" s="164"/>
      <c r="F661" s="164"/>
      <c r="G661" s="164"/>
      <c r="H661" s="198" t="s">
        <v>1154</v>
      </c>
    </row>
    <row r="662" spans="2:8" s="1" customFormat="1" ht="25.5">
      <c r="B662" s="170" t="s">
        <v>2702</v>
      </c>
      <c r="C662" s="170" t="s">
        <v>2161</v>
      </c>
      <c r="D662" s="136" t="s">
        <v>1110</v>
      </c>
      <c r="E662" s="4" t="s">
        <v>1111</v>
      </c>
      <c r="F662" s="5">
        <v>12</v>
      </c>
      <c r="G662" s="5">
        <f>CPU!H1637</f>
        <v>2128</v>
      </c>
      <c r="H662" s="8">
        <f t="shared" si="50"/>
        <v>25536</v>
      </c>
    </row>
    <row r="663" spans="2:8" s="1" customFormat="1" ht="25.5" customHeight="1">
      <c r="B663" s="170" t="s">
        <v>2703</v>
      </c>
      <c r="C663" s="170" t="s">
        <v>2204</v>
      </c>
      <c r="D663" s="136" t="s">
        <v>1112</v>
      </c>
      <c r="E663" s="4" t="s">
        <v>1111</v>
      </c>
      <c r="F663" s="5">
        <v>12</v>
      </c>
      <c r="G663" s="5">
        <f>CPU!H1641</f>
        <v>2262</v>
      </c>
      <c r="H663" s="8">
        <f t="shared" si="50"/>
        <v>27144</v>
      </c>
    </row>
    <row r="664" spans="2:8" s="134" customFormat="1" ht="15" customHeight="1">
      <c r="B664" s="163" t="s">
        <v>1113</v>
      </c>
      <c r="C664" s="163"/>
      <c r="D664" s="164" t="s">
        <v>1114</v>
      </c>
      <c r="E664" s="164"/>
      <c r="F664" s="164"/>
      <c r="G664" s="164"/>
      <c r="H664" s="198" t="s">
        <v>1154</v>
      </c>
    </row>
    <row r="665" spans="2:8" s="1" customFormat="1" ht="18" customHeight="1">
      <c r="B665" s="170" t="s">
        <v>2704</v>
      </c>
      <c r="C665" s="170" t="s">
        <v>2205</v>
      </c>
      <c r="D665" s="3" t="s">
        <v>1115</v>
      </c>
      <c r="E665" s="4" t="s">
        <v>24</v>
      </c>
      <c r="F665" s="5">
        <v>7433.53</v>
      </c>
      <c r="G665" s="432">
        <f>2.04*1.2173</f>
        <v>2.4832920000000001</v>
      </c>
      <c r="H665" s="8">
        <f t="shared" si="50"/>
        <v>18459.625580759999</v>
      </c>
    </row>
    <row r="666" spans="2:8" s="134" customFormat="1" ht="15" customHeight="1">
      <c r="B666" s="163" t="s">
        <v>1116</v>
      </c>
      <c r="C666" s="163"/>
      <c r="D666" s="164" t="s">
        <v>1117</v>
      </c>
      <c r="E666" s="164"/>
      <c r="F666" s="164"/>
      <c r="G666" s="164"/>
      <c r="H666" s="198" t="s">
        <v>1154</v>
      </c>
    </row>
    <row r="667" spans="2:8" s="1" customFormat="1" ht="25.5">
      <c r="B667" s="170" t="s">
        <v>2705</v>
      </c>
      <c r="C667" s="197" t="s">
        <v>2165</v>
      </c>
      <c r="D667" s="136" t="s">
        <v>55</v>
      </c>
      <c r="E667" s="4" t="s">
        <v>37</v>
      </c>
      <c r="F667" s="5" t="s">
        <v>38</v>
      </c>
      <c r="G667" s="5">
        <f>CPU!H1650</f>
        <v>359.61157456130002</v>
      </c>
      <c r="H667" s="8">
        <f t="shared" si="50"/>
        <v>359.61157456130002</v>
      </c>
    </row>
    <row r="668" spans="2:8" s="134" customFormat="1" ht="20.100000000000001" customHeight="1">
      <c r="B668" s="172"/>
      <c r="C668" s="178"/>
      <c r="D668" s="179" t="s">
        <v>1195</v>
      </c>
      <c r="E668" s="180"/>
      <c r="F668" s="181"/>
      <c r="G668" s="181"/>
      <c r="H668" s="182">
        <f>SUM(H662:H667)</f>
        <v>71499.237155321302</v>
      </c>
    </row>
    <row r="669" spans="2:8" s="134" customFormat="1" ht="20.100000000000001" customHeight="1">
      <c r="B669" s="176" t="s">
        <v>1122</v>
      </c>
      <c r="C669" s="176"/>
      <c r="D669" s="204" t="s">
        <v>1123</v>
      </c>
      <c r="E669" s="204"/>
      <c r="F669" s="204"/>
      <c r="G669" s="204"/>
      <c r="H669" s="205" t="s">
        <v>1154</v>
      </c>
    </row>
    <row r="670" spans="2:8" s="134" customFormat="1" ht="15" customHeight="1">
      <c r="B670" s="163" t="s">
        <v>1149</v>
      </c>
      <c r="C670" s="163"/>
      <c r="D670" s="164" t="s">
        <v>1150</v>
      </c>
      <c r="E670" s="164"/>
      <c r="F670" s="164"/>
      <c r="G670" s="164"/>
      <c r="H670" s="198" t="s">
        <v>1154</v>
      </c>
    </row>
    <row r="671" spans="2:8" s="1" customFormat="1" ht="25.5">
      <c r="B671" s="170" t="s">
        <v>2719</v>
      </c>
      <c r="C671" s="170" t="s">
        <v>2206</v>
      </c>
      <c r="D671" s="3" t="s">
        <v>1151</v>
      </c>
      <c r="E671" s="4" t="s">
        <v>1152</v>
      </c>
      <c r="F671" s="5" t="s">
        <v>1153</v>
      </c>
      <c r="G671" s="5">
        <f>CPU!H1654</f>
        <v>0.91264499999999993</v>
      </c>
      <c r="H671" s="8">
        <f t="shared" ref="H671" si="51">F671*G671</f>
        <v>13799.192399999998</v>
      </c>
    </row>
    <row r="672" spans="2:8" s="134" customFormat="1" ht="20.100000000000001" customHeight="1">
      <c r="B672" s="315"/>
      <c r="C672" s="306"/>
      <c r="D672" s="307" t="s">
        <v>2801</v>
      </c>
      <c r="E672" s="306"/>
      <c r="F672" s="308"/>
      <c r="G672" s="308"/>
      <c r="H672" s="309">
        <f>H671</f>
        <v>13799.192399999998</v>
      </c>
    </row>
    <row r="673" spans="2:8" s="1" customFormat="1" ht="20.100000000000001" customHeight="1">
      <c r="B673" s="316"/>
      <c r="C673" s="310" t="s">
        <v>1154</v>
      </c>
      <c r="D673" s="566" t="s">
        <v>1157</v>
      </c>
      <c r="E673" s="566"/>
      <c r="F673" s="566"/>
      <c r="G673" s="566"/>
      <c r="H673" s="311">
        <f>H43+H162+H336+H458+H606+H618+H659+H668+H672</f>
        <v>23295253.204807427</v>
      </c>
    </row>
    <row r="674" spans="2:8" s="1" customFormat="1" ht="20.100000000000001" customHeight="1">
      <c r="B674" s="316"/>
      <c r="C674" s="310"/>
      <c r="D674" s="567" t="s">
        <v>2743</v>
      </c>
      <c r="E674" s="567"/>
      <c r="F674" s="567"/>
      <c r="G674" s="567"/>
      <c r="H674" s="312">
        <f>H673*0.2026</f>
        <v>4719618.2992939847</v>
      </c>
    </row>
    <row r="675" spans="2:8" s="1" customFormat="1" ht="20.100000000000001" customHeight="1">
      <c r="B675" s="317"/>
      <c r="C675" s="313"/>
      <c r="D675" s="568" t="s">
        <v>1159</v>
      </c>
      <c r="E675" s="568"/>
      <c r="F675" s="568"/>
      <c r="G675" s="568"/>
      <c r="H675" s="314">
        <f>SUM(H673:H674)</f>
        <v>28014871.504101411</v>
      </c>
    </row>
  </sheetData>
  <mergeCells count="22">
    <mergeCell ref="D673:G673"/>
    <mergeCell ref="D674:G674"/>
    <mergeCell ref="D675:G675"/>
    <mergeCell ref="B13:H13"/>
    <mergeCell ref="B14:H14"/>
    <mergeCell ref="I14:J14"/>
    <mergeCell ref="B15:H15"/>
    <mergeCell ref="B16:H16"/>
    <mergeCell ref="B17:H17"/>
    <mergeCell ref="B8:H8"/>
    <mergeCell ref="B9:H9"/>
    <mergeCell ref="B10:D10"/>
    <mergeCell ref="I10:J10"/>
    <mergeCell ref="B11:H11"/>
    <mergeCell ref="B12:D12"/>
    <mergeCell ref="G12:H12"/>
    <mergeCell ref="F7:G7"/>
    <mergeCell ref="D4:E4"/>
    <mergeCell ref="F4:G4"/>
    <mergeCell ref="D5:E5"/>
    <mergeCell ref="D6:E6"/>
    <mergeCell ref="F6:G6"/>
  </mergeCells>
  <pageMargins left="0.511811024" right="0.511811024" top="0.78740157499999996" bottom="0.78740157499999996" header="0.31496062000000002" footer="0.31496062000000002"/>
  <pageSetup scale="55" fitToHeight="0" orientation="portrait" r:id="rId1"/>
  <drawing r:id="rId2"/>
</worksheet>
</file>

<file path=xl/worksheets/sheet5.xml><?xml version="1.0" encoding="utf-8"?>
<worksheet xmlns="http://schemas.openxmlformats.org/spreadsheetml/2006/main" xmlns:r="http://schemas.openxmlformats.org/officeDocument/2006/relationships">
  <dimension ref="A1:AF115"/>
  <sheetViews>
    <sheetView workbookViewId="0">
      <selection activeCell="D9" sqref="D9:E9"/>
    </sheetView>
  </sheetViews>
  <sheetFormatPr defaultRowHeight="15"/>
  <cols>
    <col min="1" max="1" width="2.7109375" customWidth="1"/>
    <col min="2" max="2" width="17.7109375" customWidth="1"/>
    <col min="3" max="3" width="67.28515625" customWidth="1"/>
    <col min="4" max="4" width="18.42578125" customWidth="1"/>
    <col min="6" max="6" width="1.5703125" style="235" customWidth="1"/>
    <col min="7" max="32" width="9.140625" style="235"/>
  </cols>
  <sheetData>
    <row r="1" spans="1:5" s="235" customFormat="1" ht="10.5" customHeight="1">
      <c r="A1" s="556"/>
      <c r="B1" s="596"/>
      <c r="C1" s="596"/>
      <c r="D1" s="596"/>
      <c r="E1" s="596"/>
    </row>
    <row r="2" spans="1:5" ht="17.25" customHeight="1">
      <c r="A2" s="556"/>
      <c r="B2" s="612" t="s">
        <v>2235</v>
      </c>
      <c r="C2" s="613"/>
      <c r="D2" s="614"/>
      <c r="E2" s="615"/>
    </row>
    <row r="3" spans="1:5" ht="12.95" customHeight="1">
      <c r="A3" s="556"/>
      <c r="B3" s="242"/>
      <c r="C3" s="243"/>
      <c r="D3" s="244"/>
      <c r="E3" s="245"/>
    </row>
    <row r="4" spans="1:5" ht="17.25" customHeight="1">
      <c r="A4" s="556"/>
      <c r="B4" s="616" t="s">
        <v>2770</v>
      </c>
      <c r="C4" s="575"/>
      <c r="D4" s="244"/>
      <c r="E4" s="245"/>
    </row>
    <row r="5" spans="1:5" ht="17.25" customHeight="1">
      <c r="A5" s="556"/>
      <c r="B5" s="242"/>
      <c r="C5" s="243"/>
      <c r="D5" s="244"/>
      <c r="E5" s="245"/>
    </row>
    <row r="6" spans="1:5" ht="17.25" customHeight="1">
      <c r="A6" s="556"/>
      <c r="B6" s="242"/>
      <c r="C6" s="243"/>
      <c r="D6" s="244"/>
      <c r="E6" s="245"/>
    </row>
    <row r="7" spans="1:5" ht="15" customHeight="1">
      <c r="A7" s="556"/>
      <c r="B7" s="620" t="s">
        <v>2771</v>
      </c>
      <c r="C7" s="621"/>
      <c r="D7" s="610"/>
      <c r="E7" s="611"/>
    </row>
    <row r="8" spans="1:5" ht="15" customHeight="1">
      <c r="A8" s="556"/>
      <c r="B8" s="242"/>
      <c r="C8" s="243"/>
      <c r="D8" s="246"/>
      <c r="E8" s="247"/>
    </row>
    <row r="9" spans="1:5" ht="15" customHeight="1">
      <c r="A9" s="556"/>
      <c r="B9" s="620" t="s">
        <v>2772</v>
      </c>
      <c r="C9" s="621"/>
      <c r="D9" s="589" t="s">
        <v>2905</v>
      </c>
      <c r="E9" s="590"/>
    </row>
    <row r="10" spans="1:5" ht="15" customHeight="1">
      <c r="A10" s="556"/>
      <c r="B10" s="242"/>
      <c r="C10" s="243"/>
      <c r="D10" s="246"/>
      <c r="E10" s="247"/>
    </row>
    <row r="11" spans="1:5" ht="15" customHeight="1">
      <c r="A11" s="556"/>
      <c r="B11" s="242"/>
      <c r="C11" s="243"/>
      <c r="D11" s="246"/>
      <c r="E11" s="247"/>
    </row>
    <row r="12" spans="1:5" ht="15" customHeight="1">
      <c r="A12" s="556"/>
      <c r="B12" s="242"/>
      <c r="C12" s="243"/>
      <c r="D12" s="591" t="s">
        <v>2773</v>
      </c>
      <c r="E12" s="592"/>
    </row>
    <row r="13" spans="1:5" ht="15" customHeight="1">
      <c r="A13" s="556"/>
      <c r="B13" s="242"/>
      <c r="C13" s="243"/>
      <c r="D13" s="246"/>
      <c r="E13" s="247"/>
    </row>
    <row r="14" spans="1:5" ht="15" customHeight="1">
      <c r="A14" s="556"/>
      <c r="B14" s="593" t="s">
        <v>2823</v>
      </c>
      <c r="C14" s="594"/>
      <c r="D14" s="594"/>
      <c r="E14" s="595"/>
    </row>
    <row r="15" spans="1:5" ht="15" customHeight="1">
      <c r="A15" s="556"/>
      <c r="B15" s="593" t="s">
        <v>2824</v>
      </c>
      <c r="C15" s="594"/>
      <c r="D15" s="594"/>
      <c r="E15" s="595"/>
    </row>
    <row r="16" spans="1:5" ht="15" customHeight="1">
      <c r="A16" s="556"/>
      <c r="B16" s="617" t="s">
        <v>2843</v>
      </c>
      <c r="C16" s="618"/>
      <c r="D16" s="618"/>
      <c r="E16" s="619"/>
    </row>
    <row r="17" spans="1:5">
      <c r="A17" s="556"/>
      <c r="B17" s="17" t="s">
        <v>1203</v>
      </c>
      <c r="C17" s="18" t="s">
        <v>1204</v>
      </c>
      <c r="D17" s="19" t="s">
        <v>6</v>
      </c>
      <c r="E17" s="20" t="s">
        <v>1158</v>
      </c>
    </row>
    <row r="18" spans="1:5">
      <c r="A18" s="556"/>
      <c r="B18" s="21" t="s">
        <v>7</v>
      </c>
      <c r="C18" s="100" t="s">
        <v>8</v>
      </c>
      <c r="D18" s="21">
        <f>ORCA!H22</f>
        <v>5074.3999999999996</v>
      </c>
      <c r="E18" s="22">
        <f>D18/D60</f>
        <v>2.0516320662130268E-4</v>
      </c>
    </row>
    <row r="19" spans="1:5">
      <c r="A19" s="556"/>
      <c r="B19" s="23" t="str">
        <f>[1]Orçamento!B11</f>
        <v>02.00.000</v>
      </c>
      <c r="C19" s="46" t="str">
        <f>[1]Orçamento!D11</f>
        <v>SERVIÇOS PRELIMINARES</v>
      </c>
      <c r="D19" s="23">
        <f>ORCA!H52</f>
        <v>705701.17</v>
      </c>
      <c r="E19" s="22">
        <f>D19/D60</f>
        <v>2.8532223504967102E-2</v>
      </c>
    </row>
    <row r="20" spans="1:5">
      <c r="A20" s="556"/>
      <c r="B20" s="23" t="str">
        <f>[1]Orçamento!B62</f>
        <v>03.00.000</v>
      </c>
      <c r="C20" s="46" t="str">
        <f>[1]Orçamento!D62</f>
        <v xml:space="preserve">FUNDAÇÕES E ESTRUTURAS </v>
      </c>
      <c r="D20" s="23" t="s">
        <v>1205</v>
      </c>
      <c r="E20" s="22" t="s">
        <v>1205</v>
      </c>
    </row>
    <row r="21" spans="1:5">
      <c r="A21" s="556"/>
      <c r="B21" s="24" t="s">
        <v>91</v>
      </c>
      <c r="C21" s="25" t="s">
        <v>92</v>
      </c>
      <c r="D21" s="23">
        <f>ORCA!H74</f>
        <v>1052684.2600000002</v>
      </c>
      <c r="E21" s="22">
        <f>D21/D60</f>
        <v>4.2561106404968699E-2</v>
      </c>
    </row>
    <row r="22" spans="1:5">
      <c r="A22" s="556"/>
      <c r="B22" s="24" t="s">
        <v>136</v>
      </c>
      <c r="C22" s="25" t="s">
        <v>1206</v>
      </c>
      <c r="D22" s="23">
        <f>ORCA!H92</f>
        <v>1023502.01</v>
      </c>
      <c r="E22" s="22">
        <f>D22/D60</f>
        <v>4.1381238048823238E-2</v>
      </c>
    </row>
    <row r="23" spans="1:5">
      <c r="A23" s="556"/>
      <c r="B23" s="24" t="s">
        <v>1207</v>
      </c>
      <c r="C23" s="25" t="s">
        <v>1208</v>
      </c>
      <c r="D23" s="23">
        <f>ORCA!H168</f>
        <v>3441182.39</v>
      </c>
      <c r="E23" s="22">
        <f>D23/D60</f>
        <v>0.13913054030055932</v>
      </c>
    </row>
    <row r="24" spans="1:5">
      <c r="A24" s="556"/>
      <c r="B24" s="24" t="str">
        <f>[2]ORCA!A173</f>
        <v>03.03.000</v>
      </c>
      <c r="C24" s="25" t="str">
        <f>[2]ORCA!B173</f>
        <v>Estruturas Metálicas</v>
      </c>
      <c r="D24" s="23">
        <f>ORCA!H173</f>
        <v>5173405.09</v>
      </c>
      <c r="E24" s="22">
        <f>D24/D60</f>
        <v>0.20916608415090829</v>
      </c>
    </row>
    <row r="25" spans="1:5">
      <c r="A25" s="556"/>
      <c r="B25" s="23" t="str">
        <f>[1]Orçamento!B124</f>
        <v>04.00.000</v>
      </c>
      <c r="C25" s="46" t="str">
        <f>[1]Orçamento!D124</f>
        <v>ARQUITETURA E ELEMENTOS DE URBANISMO</v>
      </c>
      <c r="D25" s="23" t="s">
        <v>1154</v>
      </c>
      <c r="E25" s="22" t="s">
        <v>1154</v>
      </c>
    </row>
    <row r="26" spans="1:5">
      <c r="A26" s="556"/>
      <c r="B26" s="24" t="str">
        <f>[2]ORCA!A181</f>
        <v>04.01.100</v>
      </c>
      <c r="C26" s="25" t="str">
        <f>[2]ORCA!B181</f>
        <v>Paredes</v>
      </c>
      <c r="D26" s="23">
        <f>ORCA!H190</f>
        <v>808755.13</v>
      </c>
      <c r="E26" s="22">
        <f>D26/D60</f>
        <v>3.2698801009425453E-2</v>
      </c>
    </row>
    <row r="27" spans="1:5">
      <c r="A27" s="556"/>
      <c r="B27" s="24" t="str">
        <f>[2]ORCA!A197</f>
        <v>04.01.200</v>
      </c>
      <c r="C27" s="25" t="str">
        <f>[2]ORCA!B197</f>
        <v>Esquadrias</v>
      </c>
      <c r="D27" s="23">
        <f>ORCA!H229</f>
        <v>1528027.41</v>
      </c>
      <c r="E27" s="22">
        <f>D27/D60</f>
        <v>6.1779718437814123E-2</v>
      </c>
    </row>
    <row r="28" spans="1:5">
      <c r="A28" s="556"/>
      <c r="B28" s="24" t="str">
        <f>[2]ORCA!A237</f>
        <v>04.01.240</v>
      </c>
      <c r="C28" s="25" t="str">
        <f>[2]ORCA!B237</f>
        <v>Portas e Janelas de vidro</v>
      </c>
      <c r="D28" s="23">
        <f>ORCA!H235</f>
        <v>209469.51</v>
      </c>
      <c r="E28" s="22">
        <f>D28/D60</f>
        <v>8.4690675470977909E-3</v>
      </c>
    </row>
    <row r="29" spans="1:5">
      <c r="A29" s="556"/>
      <c r="B29" s="24" t="str">
        <f>[2]ORCA!A245</f>
        <v>04.01.300</v>
      </c>
      <c r="C29" s="25" t="s">
        <v>404</v>
      </c>
      <c r="D29" s="23">
        <f>ORCA!H243</f>
        <v>383287.98000000004</v>
      </c>
      <c r="E29" s="22">
        <f>D29/D60</f>
        <v>1.5496726910807532E-2</v>
      </c>
    </row>
    <row r="30" spans="1:5">
      <c r="A30" s="556"/>
      <c r="B30" s="24" t="s">
        <v>416</v>
      </c>
      <c r="C30" s="25" t="s">
        <v>417</v>
      </c>
      <c r="D30" s="23">
        <f>ORCA!H249</f>
        <v>171562.13</v>
      </c>
      <c r="E30" s="22">
        <f>D30/D60</f>
        <v>6.9364332188201153E-3</v>
      </c>
    </row>
    <row r="31" spans="1:5">
      <c r="A31" s="556"/>
      <c r="B31" s="24" t="str">
        <f>[2]ORCA!A264</f>
        <v>04.01.510</v>
      </c>
      <c r="C31" s="25" t="s">
        <v>424</v>
      </c>
      <c r="D31" s="23">
        <f>ORCA!H255</f>
        <v>1514877.9100000001</v>
      </c>
      <c r="E31" s="22">
        <f>D31/D60</f>
        <v>6.1248070639952946E-2</v>
      </c>
    </row>
    <row r="32" spans="1:5">
      <c r="A32" s="556"/>
      <c r="B32" s="24" t="s">
        <v>428</v>
      </c>
      <c r="C32" s="25" t="s">
        <v>429</v>
      </c>
      <c r="D32" s="23">
        <f>ORCA!H263</f>
        <v>523595.78999999992</v>
      </c>
      <c r="E32" s="22">
        <f>D32/D60</f>
        <v>2.1169515854054508E-2</v>
      </c>
    </row>
    <row r="33" spans="1:5">
      <c r="A33" s="556"/>
      <c r="B33" s="24" t="s">
        <v>441</v>
      </c>
      <c r="C33" s="25" t="s">
        <v>1209</v>
      </c>
      <c r="D33" s="23">
        <f>ORCA!H267</f>
        <v>194188.25</v>
      </c>
      <c r="E33" s="22">
        <f>D33/D60</f>
        <v>7.8512305017695069E-3</v>
      </c>
    </row>
    <row r="34" spans="1:5">
      <c r="A34" s="556"/>
      <c r="B34" s="24" t="s">
        <v>449</v>
      </c>
      <c r="C34" s="25" t="s">
        <v>1210</v>
      </c>
      <c r="D34" s="23">
        <f>ORCA!H278</f>
        <v>489013.60999999993</v>
      </c>
      <c r="E34" s="22">
        <f>D34/D60</f>
        <v>1.9771322778862351E-2</v>
      </c>
    </row>
    <row r="35" spans="1:5">
      <c r="A35" s="556"/>
      <c r="B35" s="24" t="s">
        <v>467</v>
      </c>
      <c r="C35" s="25" t="s">
        <v>1211</v>
      </c>
      <c r="D35" s="23">
        <f>ORCA!H281</f>
        <v>31733.58</v>
      </c>
      <c r="E35" s="22">
        <f>D35/D60</f>
        <v>1.2830212498765646E-3</v>
      </c>
    </row>
    <row r="36" spans="1:5">
      <c r="A36" s="556"/>
      <c r="B36" s="24" t="s">
        <v>470</v>
      </c>
      <c r="C36" s="25" t="s">
        <v>471</v>
      </c>
      <c r="D36" s="23">
        <f>ORCA!H295</f>
        <v>2943057.78</v>
      </c>
      <c r="E36" s="22">
        <f>D36/D60</f>
        <v>0.11899085042893197</v>
      </c>
    </row>
    <row r="37" spans="1:5">
      <c r="A37" s="556"/>
      <c r="B37" s="24" t="s">
        <v>496</v>
      </c>
      <c r="C37" s="25" t="s">
        <v>1212</v>
      </c>
      <c r="D37" s="23">
        <f>ORCA!H304</f>
        <v>136088.52000000002</v>
      </c>
      <c r="E37" s="22">
        <f>D37/D60</f>
        <v>5.5021987126650023E-3</v>
      </c>
    </row>
    <row r="38" spans="1:5">
      <c r="A38" s="556"/>
      <c r="B38" s="24" t="s">
        <v>511</v>
      </c>
      <c r="C38" s="25" t="s">
        <v>1213</v>
      </c>
      <c r="D38" s="23">
        <f>ORCA!H313</f>
        <v>71067.14</v>
      </c>
      <c r="E38" s="22">
        <f>D38/D60</f>
        <v>2.8733175011439868E-3</v>
      </c>
    </row>
    <row r="39" spans="1:5">
      <c r="A39" s="556"/>
      <c r="B39" s="24" t="s">
        <v>514</v>
      </c>
      <c r="C39" s="25" t="s">
        <v>1214</v>
      </c>
      <c r="D39" s="23">
        <f>ORCA!H318</f>
        <v>6958.82</v>
      </c>
      <c r="E39" s="22">
        <f>D39/D60</f>
        <v>2.8135224371363186E-4</v>
      </c>
    </row>
    <row r="40" spans="1:5">
      <c r="A40" s="556"/>
      <c r="B40" s="24" t="s">
        <v>524</v>
      </c>
      <c r="C40" s="25" t="s">
        <v>525</v>
      </c>
      <c r="D40" s="23">
        <f>ORCA!H324</f>
        <v>153284.63</v>
      </c>
      <c r="E40" s="22">
        <f>D40/D60</f>
        <v>6.1974551112564903E-3</v>
      </c>
    </row>
    <row r="41" spans="1:5">
      <c r="A41" s="556"/>
      <c r="B41" s="24" t="s">
        <v>531</v>
      </c>
      <c r="C41" s="25" t="s">
        <v>532</v>
      </c>
      <c r="D41" s="23">
        <f>ORCA!H342</f>
        <v>414212.5</v>
      </c>
      <c r="E41" s="22">
        <f>D41/D60</f>
        <v>1.6747037033467277E-2</v>
      </c>
    </row>
    <row r="42" spans="1:5">
      <c r="A42" s="556"/>
      <c r="B42" s="24" t="s">
        <v>560</v>
      </c>
      <c r="C42" s="25" t="s">
        <v>561</v>
      </c>
      <c r="D42" s="23">
        <f>ORCA!H347</f>
        <v>4802.22</v>
      </c>
      <c r="E42" s="22">
        <f>D42/D60</f>
        <v>1.941586895201309E-4</v>
      </c>
    </row>
    <row r="43" spans="1:5">
      <c r="A43" s="556"/>
      <c r="B43" s="23" t="str">
        <f>[1]Orçamento!B350</f>
        <v>05.00.000</v>
      </c>
      <c r="C43" s="46" t="str">
        <f>[1]Orçamento!D350</f>
        <v xml:space="preserve">INSTALAÇÕES HIDRÁULICAS E SANITÁRIAS </v>
      </c>
      <c r="D43" s="23" t="s">
        <v>1154</v>
      </c>
      <c r="E43" s="22" t="s">
        <v>1154</v>
      </c>
    </row>
    <row r="44" spans="1:5">
      <c r="A44" s="556"/>
      <c r="B44" s="24" t="str">
        <f>[2]ORCA!A387</f>
        <v>05.01.000</v>
      </c>
      <c r="C44" s="25" t="str">
        <f>[2]ORCA!B387</f>
        <v>Água Fria</v>
      </c>
      <c r="D44" s="23">
        <f>ORCA!H389</f>
        <v>34363.19</v>
      </c>
      <c r="E44" s="22">
        <f>D44/D60</f>
        <v>1.3893390844507889E-3</v>
      </c>
    </row>
    <row r="45" spans="1:5">
      <c r="A45" s="556"/>
      <c r="B45" s="24" t="str">
        <f>[2]ORCA!A429</f>
        <v>05.01.500</v>
      </c>
      <c r="C45" s="25" t="s">
        <v>1215</v>
      </c>
      <c r="D45" s="23">
        <f>ORCA!H411</f>
        <v>121065.15</v>
      </c>
      <c r="E45" s="22">
        <f>D45/D60</f>
        <v>4.8947884250530116E-3</v>
      </c>
    </row>
    <row r="46" spans="1:5">
      <c r="A46" s="556"/>
      <c r="B46" s="24" t="str">
        <f>[2]ORCA!A453</f>
        <v>05.03.000</v>
      </c>
      <c r="C46" s="25" t="str">
        <f>[2]ORCA!B453</f>
        <v>Drenagem de Águas Pluviais</v>
      </c>
      <c r="D46" s="23">
        <f>ORCA!H434</f>
        <v>528650.49</v>
      </c>
      <c r="E46" s="22">
        <f>D46/D60</f>
        <v>2.1373882569431443E-2</v>
      </c>
    </row>
    <row r="47" spans="1:5">
      <c r="A47" s="556"/>
      <c r="B47" s="24" t="str">
        <f>[2]ORCA!A471</f>
        <v>05.04.000</v>
      </c>
      <c r="C47" s="25" t="str">
        <f>[2]ORCA!B471</f>
        <v>Esgotos Sanitários</v>
      </c>
      <c r="D47" s="23">
        <f>ORCA!H469</f>
        <v>121640.4</v>
      </c>
      <c r="E47" s="22">
        <f>D47/D60</f>
        <v>4.9180463736989413E-3</v>
      </c>
    </row>
    <row r="48" spans="1:5">
      <c r="A48" s="556"/>
      <c r="B48" s="23" t="str">
        <f>[1]Orçamento!B532</f>
        <v>06.00.000</v>
      </c>
      <c r="C48" s="46" t="str">
        <f>[1]Orçamento!D532</f>
        <v>INSTALAÇÕES ELÉTRICAS E ELETRÔNICAS</v>
      </c>
      <c r="D48" s="23" t="s">
        <v>1154</v>
      </c>
      <c r="E48" s="22" t="s">
        <v>1154</v>
      </c>
    </row>
    <row r="49" spans="1:5">
      <c r="A49" s="556"/>
      <c r="B49" s="24" t="str">
        <f>[2]ORCA!A509</f>
        <v>06.01.000</v>
      </c>
      <c r="C49" s="25" t="str">
        <f>[2]ORCA!B509</f>
        <v>Instalações Elétricas</v>
      </c>
      <c r="D49" s="23">
        <f>ORCA!H530</f>
        <v>756502.84999999986</v>
      </c>
      <c r="E49" s="22">
        <f>D49/D60</f>
        <v>3.0586187632853999E-2</v>
      </c>
    </row>
    <row r="50" spans="1:5">
      <c r="A50" s="556"/>
      <c r="B50" s="24" t="str">
        <f>[2]ORCA!A569</f>
        <v>06.01.400</v>
      </c>
      <c r="C50" s="25" t="s">
        <v>902</v>
      </c>
      <c r="D50" s="23">
        <f>ORCA!H549</f>
        <v>240047.72999999998</v>
      </c>
      <c r="E50" s="22">
        <f>D50/D60</f>
        <v>9.7053764048881993E-3</v>
      </c>
    </row>
    <row r="51" spans="1:5">
      <c r="A51" s="556"/>
      <c r="B51" s="24" t="s">
        <v>938</v>
      </c>
      <c r="C51" s="25" t="s">
        <v>939</v>
      </c>
      <c r="D51" s="23">
        <f>ORCA!H554</f>
        <v>56797.66</v>
      </c>
      <c r="E51" s="22">
        <f>D51/D60</f>
        <v>2.2963877609543E-3</v>
      </c>
    </row>
    <row r="52" spans="1:5">
      <c r="A52" s="556"/>
      <c r="B52" s="24" t="str">
        <f>[2]ORCA!A605</f>
        <v>06.02.000</v>
      </c>
      <c r="C52" s="25" t="str">
        <f>[2]ORCA!B605</f>
        <v>Telefonia Antena de TV</v>
      </c>
      <c r="D52" s="23">
        <f>ORCA!H586</f>
        <v>59430.85</v>
      </c>
      <c r="E52" s="22">
        <f>D52/D60</f>
        <v>2.4028503386074504E-3</v>
      </c>
    </row>
    <row r="53" spans="1:5">
      <c r="A53" s="556"/>
      <c r="B53" s="24" t="str">
        <f>[2]ORCA!A639</f>
        <v>06.03.000</v>
      </c>
      <c r="C53" s="25" t="str">
        <f>[2]ORCA!B639</f>
        <v>Detecção e Alarme de Incêndio</v>
      </c>
      <c r="D53" s="23">
        <f>ORCA!H617</f>
        <v>141760.80000000002</v>
      </c>
      <c r="E53" s="22">
        <f>D53/D60</f>
        <v>5.7315348220875707E-3</v>
      </c>
    </row>
    <row r="54" spans="1:5">
      <c r="A54" s="556"/>
      <c r="B54" s="23" t="s">
        <v>1032</v>
      </c>
      <c r="C54" s="46" t="s">
        <v>1033</v>
      </c>
      <c r="D54" s="23" t="s">
        <v>1154</v>
      </c>
      <c r="E54" s="22" t="s">
        <v>1154</v>
      </c>
    </row>
    <row r="55" spans="1:5">
      <c r="A55" s="556"/>
      <c r="B55" s="97">
        <f>ORCA!C620</f>
        <v>0</v>
      </c>
      <c r="C55" s="98" t="str">
        <f>ORCA!D620</f>
        <v>Ar Condicionado</v>
      </c>
      <c r="D55" s="23">
        <f>ORCA!H624</f>
        <v>51483.25</v>
      </c>
      <c r="E55" s="22">
        <f>D55/D60</f>
        <v>2.0815207033907817E-3</v>
      </c>
    </row>
    <row r="56" spans="1:5">
      <c r="A56" s="556"/>
      <c r="B56" s="24" t="str">
        <f>[2]ORCA!A682</f>
        <v>07.07.000</v>
      </c>
      <c r="C56" s="25" t="str">
        <f>[2]ORCA!B682</f>
        <v>Gás Combustível</v>
      </c>
      <c r="D56" s="23">
        <f>ORCA!H629</f>
        <v>29894.9</v>
      </c>
      <c r="E56" s="22">
        <f>D56/D60</f>
        <v>1.2086815279881724E-3</v>
      </c>
    </row>
    <row r="57" spans="1:5">
      <c r="A57" s="556"/>
      <c r="B57" s="23" t="str">
        <f>[2]ORCA!A688</f>
        <v>08.00.000</v>
      </c>
      <c r="C57" s="46" t="str">
        <f>[2]ORCA!B688</f>
        <v>INSTALAÇÕES DE PREVENÇÃO E COMBATE A INCÊNDIO</v>
      </c>
      <c r="D57" s="23">
        <f>ORCA!H671</f>
        <v>507271.41999999993</v>
      </c>
      <c r="E57" s="22">
        <f>D57/D60</f>
        <v>2.050950479949188E-2</v>
      </c>
    </row>
    <row r="58" spans="1:5">
      <c r="A58" s="556"/>
      <c r="B58" s="23" t="str">
        <f>[2]ORCA!A731</f>
        <v>09.00.000</v>
      </c>
      <c r="C58" s="46" t="str">
        <f>[2]ORCA!B731</f>
        <v>SERVIÇOS COMPLEMENTARES</v>
      </c>
      <c r="D58" s="23">
        <f>ORCA!H682</f>
        <v>76392.76999999999</v>
      </c>
      <c r="E58" s="22">
        <f>D58/D60</f>
        <v>3.0886381948375475E-3</v>
      </c>
    </row>
    <row r="59" spans="1:5">
      <c r="A59" s="556"/>
      <c r="B59" s="26" t="str">
        <f>[2]ORCA!A744</f>
        <v>10.00.000</v>
      </c>
      <c r="C59" s="82" t="str">
        <f>[2]ORCA!B744</f>
        <v>SERVIÇOS AUXILIARES E ADMINISTRATIVOS</v>
      </c>
      <c r="D59" s="23">
        <f>ORCA!H698</f>
        <v>1022645.9799999999</v>
      </c>
      <c r="E59" s="27">
        <f>D59/D60</f>
        <v>4.1346627876238481E-2</v>
      </c>
    </row>
    <row r="60" spans="1:5" ht="20.100000000000001" customHeight="1">
      <c r="A60" s="556"/>
      <c r="B60" s="28"/>
      <c r="C60" s="83" t="s">
        <v>1216</v>
      </c>
      <c r="D60" s="29">
        <f>SUM(D18:D59)</f>
        <v>24733479.670000002</v>
      </c>
      <c r="E60" s="30">
        <f>SUM(E18:E59)</f>
        <v>0.99999999999999956</v>
      </c>
    </row>
    <row r="61" spans="1:5" ht="20.100000000000001" customHeight="1">
      <c r="A61" s="556"/>
      <c r="B61" s="31"/>
      <c r="C61" s="32" t="s">
        <v>2744</v>
      </c>
      <c r="D61" s="33">
        <f>D60*0.2026</f>
        <v>5011002.9811420003</v>
      </c>
      <c r="E61" s="34"/>
    </row>
    <row r="62" spans="1:5" ht="20.100000000000001" customHeight="1">
      <c r="A62" s="556"/>
      <c r="B62" s="35"/>
      <c r="C62" s="84" t="s">
        <v>1217</v>
      </c>
      <c r="D62" s="29">
        <f>D60+D61</f>
        <v>29744482.651142001</v>
      </c>
      <c r="E62" s="36"/>
    </row>
    <row r="63" spans="1:5">
      <c r="A63" s="556"/>
      <c r="B63" s="601" t="s">
        <v>1154</v>
      </c>
      <c r="C63" s="602"/>
      <c r="D63" s="602"/>
      <c r="E63" s="603"/>
    </row>
    <row r="64" spans="1:5">
      <c r="A64" s="556"/>
      <c r="B64" s="37"/>
      <c r="C64" s="38"/>
      <c r="D64" s="39"/>
      <c r="E64" s="39"/>
    </row>
    <row r="65" spans="1:5">
      <c r="A65" s="556"/>
      <c r="B65" s="40" t="s">
        <v>1160</v>
      </c>
      <c r="C65" s="604" t="s">
        <v>1154</v>
      </c>
      <c r="D65" s="605"/>
      <c r="E65" s="606"/>
    </row>
    <row r="66" spans="1:5" ht="26.25" customHeight="1">
      <c r="A66" s="556"/>
      <c r="B66" s="41"/>
      <c r="C66" s="607" t="s">
        <v>1218</v>
      </c>
      <c r="D66" s="608"/>
      <c r="E66" s="609"/>
    </row>
    <row r="67" spans="1:5" ht="29.25" customHeight="1">
      <c r="A67" s="556"/>
      <c r="B67" s="41"/>
      <c r="C67" s="557" t="s">
        <v>1886</v>
      </c>
      <c r="D67" s="557"/>
      <c r="E67" s="597"/>
    </row>
    <row r="68" spans="1:5">
      <c r="A68" s="556"/>
      <c r="B68" s="42"/>
      <c r="C68" s="598" t="s">
        <v>1154</v>
      </c>
      <c r="D68" s="599"/>
      <c r="E68" s="600"/>
    </row>
    <row r="69" spans="1:5" s="235" customFormat="1">
      <c r="A69" s="556"/>
      <c r="B69" s="596"/>
      <c r="C69" s="596"/>
      <c r="D69" s="596"/>
      <c r="E69" s="596"/>
    </row>
    <row r="70" spans="1:5" s="235" customFormat="1"/>
    <row r="71" spans="1:5" s="235" customFormat="1"/>
    <row r="72" spans="1:5" s="235" customFormat="1"/>
    <row r="73" spans="1:5" s="235" customFormat="1"/>
    <row r="74" spans="1:5" s="235" customFormat="1"/>
    <row r="75" spans="1:5" s="235" customFormat="1"/>
    <row r="76" spans="1:5" s="235" customFormat="1"/>
    <row r="77" spans="1:5" s="235" customFormat="1"/>
    <row r="78" spans="1:5" s="235" customFormat="1"/>
    <row r="79" spans="1:5" s="235" customFormat="1"/>
    <row r="80" spans="1:5" s="235" customFormat="1"/>
    <row r="81" s="235" customFormat="1"/>
    <row r="82" s="235" customFormat="1"/>
    <row r="83" s="235" customFormat="1"/>
    <row r="84" s="235" customFormat="1"/>
    <row r="85" s="235" customFormat="1"/>
    <row r="86" s="235" customFormat="1"/>
    <row r="87" s="235" customFormat="1"/>
    <row r="88" s="235" customFormat="1"/>
    <row r="89" s="235" customFormat="1"/>
    <row r="90" s="235" customFormat="1"/>
    <row r="91" s="235" customFormat="1"/>
    <row r="92" s="235" customFormat="1"/>
    <row r="93" s="235" customFormat="1"/>
    <row r="94" s="235" customFormat="1"/>
    <row r="95" s="235" customFormat="1"/>
    <row r="96" s="235" customFormat="1" ht="19.5" customHeight="1"/>
    <row r="97" s="235" customFormat="1"/>
    <row r="98" s="235" customFormat="1"/>
    <row r="99" s="235" customFormat="1"/>
    <row r="100" s="235" customFormat="1"/>
    <row r="101" s="235" customFormat="1"/>
    <row r="102" s="235" customFormat="1"/>
    <row r="103" s="235" customFormat="1"/>
    <row r="104" s="235" customFormat="1"/>
    <row r="105" s="235" customFormat="1"/>
    <row r="106" s="235" customFormat="1"/>
    <row r="107" s="235" customFormat="1"/>
    <row r="108" s="235" customFormat="1"/>
    <row r="109" s="235" customFormat="1"/>
    <row r="110" s="235" customFormat="1"/>
    <row r="111" s="235" customFormat="1"/>
    <row r="112" s="235" customFormat="1"/>
    <row r="113" s="235" customFormat="1"/>
    <row r="114" s="235" customFormat="1"/>
    <row r="115" s="235" customFormat="1"/>
  </sheetData>
  <mergeCells count="19">
    <mergeCell ref="B16:E16"/>
    <mergeCell ref="B7:C7"/>
    <mergeCell ref="B9:C9"/>
    <mergeCell ref="D9:E9"/>
    <mergeCell ref="D12:E12"/>
    <mergeCell ref="B14:E14"/>
    <mergeCell ref="A1:A69"/>
    <mergeCell ref="B1:E1"/>
    <mergeCell ref="C67:E67"/>
    <mergeCell ref="C68:E68"/>
    <mergeCell ref="B69:E69"/>
    <mergeCell ref="B63:E63"/>
    <mergeCell ref="C65:E65"/>
    <mergeCell ref="C66:E66"/>
    <mergeCell ref="D7:E7"/>
    <mergeCell ref="B2:C2"/>
    <mergeCell ref="D2:E2"/>
    <mergeCell ref="B4:C4"/>
    <mergeCell ref="B15:E15"/>
  </mergeCells>
  <pageMargins left="1.1023622047244095" right="0.31496062992125984" top="0.55118110236220474" bottom="0.35433070866141736" header="0.11811023622047245" footer="0.11811023622047245"/>
  <pageSetup paperSize="9" scale="75" orientation="portrait" r:id="rId1"/>
  <drawing r:id="rId2"/>
</worksheet>
</file>

<file path=xl/worksheets/sheet6.xml><?xml version="1.0" encoding="utf-8"?>
<worksheet xmlns="http://schemas.openxmlformats.org/spreadsheetml/2006/main" xmlns:r="http://schemas.openxmlformats.org/officeDocument/2006/relationships">
  <dimension ref="A1:BB336"/>
  <sheetViews>
    <sheetView zoomScale="91" zoomScaleNormal="91" workbookViewId="0">
      <selection activeCell="B4" sqref="B4"/>
    </sheetView>
  </sheetViews>
  <sheetFormatPr defaultRowHeight="15"/>
  <cols>
    <col min="1" max="1" width="2.7109375" customWidth="1"/>
    <col min="2" max="2" width="19.7109375" customWidth="1"/>
    <col min="3" max="3" width="46.28515625" customWidth="1"/>
    <col min="4" max="4" width="7" customWidth="1"/>
    <col min="5" max="5" width="15.28515625" customWidth="1"/>
    <col min="7" max="18" width="13.7109375" customWidth="1"/>
    <col min="19" max="19" width="17.140625" customWidth="1"/>
    <col min="20" max="20" width="9.140625" style="235"/>
    <col min="29" max="54" width="9.140625" style="235"/>
  </cols>
  <sheetData>
    <row r="1" spans="1:28" ht="15" customHeight="1">
      <c r="A1" s="556"/>
      <c r="B1" s="235"/>
      <c r="C1" s="235"/>
      <c r="D1" s="235"/>
      <c r="E1" s="235"/>
      <c r="F1" s="235"/>
      <c r="G1" s="235"/>
      <c r="H1" s="235"/>
      <c r="I1" s="235"/>
      <c r="J1" s="235"/>
      <c r="K1" s="235"/>
      <c r="L1" s="235"/>
      <c r="M1" s="235"/>
      <c r="N1" s="235"/>
      <c r="O1" s="235"/>
      <c r="P1" s="235"/>
      <c r="Q1" s="235"/>
      <c r="R1" s="235"/>
      <c r="S1" s="235"/>
      <c r="U1" s="235"/>
      <c r="V1" s="235"/>
      <c r="W1" s="235"/>
      <c r="X1" s="235"/>
      <c r="Y1" s="235"/>
      <c r="Z1" s="235"/>
      <c r="AA1" s="235"/>
      <c r="AB1" s="235"/>
    </row>
    <row r="2" spans="1:28" ht="15" customHeight="1">
      <c r="A2" s="556"/>
      <c r="B2" s="235"/>
      <c r="C2" s="235"/>
      <c r="D2" s="235"/>
      <c r="E2" s="235"/>
      <c r="F2" s="235"/>
      <c r="G2" s="235"/>
      <c r="H2" s="235"/>
      <c r="I2" s="235"/>
      <c r="J2" s="235"/>
      <c r="K2" s="235"/>
      <c r="L2" s="624" t="s">
        <v>2233</v>
      </c>
      <c r="M2" s="624"/>
      <c r="N2" s="624"/>
      <c r="O2" s="322">
        <v>0.2026</v>
      </c>
      <c r="P2" s="235"/>
      <c r="Q2" s="235"/>
      <c r="R2" s="235"/>
      <c r="S2" s="235"/>
      <c r="U2" s="235"/>
      <c r="V2" s="235"/>
      <c r="W2" s="235"/>
      <c r="X2" s="235"/>
      <c r="Y2" s="235"/>
      <c r="Z2" s="235"/>
      <c r="AA2" s="235"/>
      <c r="AB2" s="235"/>
    </row>
    <row r="3" spans="1:28" ht="15" customHeight="1">
      <c r="A3" s="556"/>
      <c r="B3" s="235"/>
      <c r="C3" s="235"/>
      <c r="D3" s="235"/>
      <c r="E3" s="235"/>
      <c r="F3" s="235"/>
      <c r="G3" s="235"/>
      <c r="H3" s="235"/>
      <c r="I3" s="235"/>
      <c r="J3" s="235"/>
      <c r="K3" s="235"/>
      <c r="L3" s="624" t="s">
        <v>2779</v>
      </c>
      <c r="M3" s="624"/>
      <c r="N3" s="624"/>
      <c r="O3" s="322">
        <v>0.1326</v>
      </c>
      <c r="P3" s="235"/>
      <c r="Q3" s="235"/>
      <c r="R3" s="235"/>
      <c r="S3" s="235"/>
      <c r="U3" s="235"/>
      <c r="V3" s="235"/>
      <c r="W3" s="235"/>
      <c r="X3" s="235"/>
      <c r="Y3" s="235"/>
      <c r="Z3" s="235"/>
      <c r="AA3" s="235"/>
      <c r="AB3" s="235"/>
    </row>
    <row r="4" spans="1:28" ht="15" customHeight="1">
      <c r="A4" s="556"/>
      <c r="B4" s="267" t="s">
        <v>2774</v>
      </c>
      <c r="C4" s="654" t="s">
        <v>2748</v>
      </c>
      <c r="D4" s="654"/>
      <c r="E4" s="654"/>
      <c r="F4" s="235"/>
      <c r="G4" s="235"/>
      <c r="H4" s="235"/>
      <c r="I4" s="235"/>
      <c r="J4" s="235"/>
      <c r="K4" s="235"/>
      <c r="L4" s="235"/>
      <c r="M4" s="235"/>
      <c r="N4" s="235"/>
      <c r="O4" s="235"/>
      <c r="P4" s="235"/>
      <c r="Q4" s="235"/>
      <c r="R4" s="235"/>
      <c r="S4" s="235"/>
      <c r="U4" s="235"/>
      <c r="V4" s="235"/>
      <c r="W4" s="235"/>
      <c r="X4" s="235"/>
      <c r="Y4" s="235"/>
      <c r="Z4" s="235"/>
      <c r="AA4" s="235"/>
      <c r="AB4" s="235"/>
    </row>
    <row r="5" spans="1:28" ht="15" customHeight="1">
      <c r="A5" s="556"/>
      <c r="B5" s="267"/>
      <c r="C5" s="267"/>
      <c r="D5" s="267"/>
      <c r="E5" s="235"/>
      <c r="F5" s="235"/>
      <c r="G5" s="235"/>
      <c r="H5" s="235"/>
      <c r="I5" s="235"/>
      <c r="J5" s="235"/>
      <c r="K5" s="235"/>
      <c r="L5" s="235"/>
      <c r="M5" s="235"/>
      <c r="N5" s="235"/>
      <c r="O5" s="235"/>
      <c r="P5" s="235"/>
      <c r="Q5" s="235"/>
      <c r="R5" s="235"/>
      <c r="S5" s="235"/>
      <c r="U5" s="235"/>
      <c r="V5" s="235"/>
      <c r="W5" s="235"/>
      <c r="X5" s="235"/>
      <c r="Y5" s="235"/>
      <c r="Z5" s="235"/>
      <c r="AA5" s="235"/>
      <c r="AB5" s="235"/>
    </row>
    <row r="6" spans="1:28" ht="15" customHeight="1">
      <c r="A6" s="556"/>
      <c r="B6" s="267"/>
      <c r="C6" s="267"/>
      <c r="D6" s="267"/>
      <c r="E6" s="235"/>
      <c r="F6" s="235"/>
      <c r="G6" s="235"/>
      <c r="H6" s="235"/>
      <c r="I6" s="235"/>
      <c r="J6" s="235"/>
      <c r="K6" s="235"/>
      <c r="L6" s="235"/>
      <c r="M6" s="235"/>
      <c r="N6" s="235"/>
      <c r="O6" s="235"/>
      <c r="P6" s="663" t="s">
        <v>2906</v>
      </c>
      <c r="Q6" s="663"/>
      <c r="R6" s="663"/>
      <c r="S6" s="235"/>
      <c r="U6" s="235"/>
      <c r="V6" s="235"/>
      <c r="W6" s="235"/>
      <c r="X6" s="235"/>
      <c r="Y6" s="235"/>
      <c r="Z6" s="235"/>
      <c r="AA6" s="235"/>
      <c r="AB6" s="235"/>
    </row>
    <row r="7" spans="1:28" ht="15" customHeight="1">
      <c r="A7" s="556"/>
      <c r="B7" s="267"/>
      <c r="C7" s="267"/>
      <c r="D7" s="267"/>
      <c r="E7" s="235"/>
      <c r="F7" s="235"/>
      <c r="G7" s="235"/>
      <c r="H7" s="235"/>
      <c r="I7" s="235"/>
      <c r="J7" s="235"/>
      <c r="K7" s="235"/>
      <c r="L7" s="235"/>
      <c r="M7" s="235"/>
      <c r="N7" s="235"/>
      <c r="O7" s="235"/>
      <c r="P7" s="235"/>
      <c r="Q7" s="235"/>
      <c r="R7" s="235"/>
      <c r="S7" s="235"/>
      <c r="U7" s="235"/>
      <c r="V7" s="235"/>
      <c r="W7" s="235"/>
      <c r="X7" s="235"/>
      <c r="Y7" s="235"/>
      <c r="Z7" s="235"/>
      <c r="AA7" s="235"/>
      <c r="AB7" s="235"/>
    </row>
    <row r="8" spans="1:28" ht="15" customHeight="1">
      <c r="A8" s="556"/>
      <c r="B8" s="267" t="s">
        <v>2775</v>
      </c>
      <c r="C8" s="654" t="s">
        <v>2780</v>
      </c>
      <c r="D8" s="654"/>
      <c r="E8" s="654"/>
      <c r="F8" s="235"/>
      <c r="G8" s="235"/>
      <c r="H8" s="235"/>
      <c r="I8" s="235"/>
      <c r="J8" s="235"/>
      <c r="K8" s="235"/>
      <c r="L8" s="235"/>
      <c r="M8" s="235"/>
      <c r="N8" s="235"/>
      <c r="O8" s="235"/>
      <c r="P8" s="235"/>
      <c r="Q8" s="235"/>
      <c r="R8" s="235"/>
      <c r="S8" s="235"/>
      <c r="U8" s="235"/>
      <c r="V8" s="235"/>
      <c r="W8" s="235"/>
      <c r="X8" s="235"/>
      <c r="Y8" s="235"/>
      <c r="Z8" s="235"/>
      <c r="AA8" s="235"/>
      <c r="AB8" s="235"/>
    </row>
    <row r="9" spans="1:28" ht="15" customHeight="1">
      <c r="A9" s="556"/>
      <c r="B9" s="268"/>
      <c r="C9" s="621"/>
      <c r="D9" s="664"/>
      <c r="E9" s="664"/>
      <c r="F9" s="539"/>
      <c r="G9" s="269"/>
      <c r="H9" s="269"/>
      <c r="I9" s="269"/>
      <c r="J9" s="269"/>
      <c r="K9" s="269"/>
      <c r="L9" s="269"/>
      <c r="M9" s="269"/>
      <c r="N9" s="269"/>
      <c r="O9" s="665" t="s">
        <v>2781</v>
      </c>
      <c r="P9" s="665"/>
      <c r="Q9" s="665"/>
      <c r="R9" s="665"/>
      <c r="S9" s="235"/>
      <c r="U9" s="235"/>
      <c r="V9" s="235"/>
      <c r="W9" s="235"/>
      <c r="X9" s="235"/>
      <c r="Y9" s="235"/>
      <c r="Z9" s="235"/>
      <c r="AA9" s="235"/>
      <c r="AB9" s="235"/>
    </row>
    <row r="10" spans="1:28" ht="15" customHeight="1">
      <c r="A10" s="556"/>
      <c r="B10" s="268"/>
      <c r="C10" s="621"/>
      <c r="D10" s="664"/>
      <c r="E10" s="664"/>
      <c r="F10" s="539"/>
      <c r="G10" s="269"/>
      <c r="H10" s="269"/>
      <c r="I10" s="269"/>
      <c r="J10" s="269"/>
      <c r="K10" s="269"/>
      <c r="L10" s="269"/>
      <c r="M10" s="269"/>
      <c r="N10" s="269"/>
      <c r="O10" s="269"/>
      <c r="P10" s="269"/>
      <c r="Q10" s="269"/>
      <c r="R10" s="269"/>
      <c r="S10" s="235"/>
      <c r="U10" s="235"/>
      <c r="V10" s="235"/>
      <c r="W10" s="235"/>
      <c r="X10" s="235"/>
      <c r="Y10" s="235"/>
      <c r="Z10" s="235"/>
      <c r="AA10" s="235"/>
      <c r="AB10" s="235"/>
    </row>
    <row r="11" spans="1:28" ht="15" customHeight="1">
      <c r="A11" s="556"/>
      <c r="B11" s="268"/>
      <c r="C11" s="621"/>
      <c r="D11" s="539"/>
      <c r="E11" s="539"/>
      <c r="F11" s="539"/>
      <c r="G11" s="269"/>
      <c r="H11" s="269"/>
      <c r="I11" s="269"/>
      <c r="J11" s="269"/>
      <c r="K11" s="269"/>
      <c r="L11" s="269"/>
      <c r="M11" s="269"/>
      <c r="N11" s="269"/>
      <c r="O11" s="665" t="s">
        <v>2823</v>
      </c>
      <c r="P11" s="665"/>
      <c r="Q11" s="665"/>
      <c r="R11" s="665"/>
      <c r="S11" s="235"/>
      <c r="U11" s="235"/>
      <c r="V11" s="235"/>
      <c r="W11" s="235"/>
      <c r="X11" s="235"/>
      <c r="Y11" s="235"/>
      <c r="Z11" s="235"/>
      <c r="AA11" s="235"/>
      <c r="AB11" s="235"/>
    </row>
    <row r="12" spans="1:28" ht="15" customHeight="1">
      <c r="A12" s="556"/>
      <c r="B12" s="268"/>
      <c r="C12" s="621"/>
      <c r="D12" s="539"/>
      <c r="E12" s="539"/>
      <c r="F12" s="539"/>
      <c r="G12" s="269"/>
      <c r="H12" s="269"/>
      <c r="I12" s="269"/>
      <c r="J12" s="269"/>
      <c r="K12" s="269"/>
      <c r="L12" s="269"/>
      <c r="M12" s="269"/>
      <c r="N12" s="270"/>
      <c r="O12" s="665" t="s">
        <v>2824</v>
      </c>
      <c r="P12" s="665"/>
      <c r="Q12" s="665"/>
      <c r="R12" s="665"/>
      <c r="S12" s="235"/>
      <c r="U12" s="235"/>
      <c r="V12" s="235"/>
      <c r="W12" s="235"/>
      <c r="X12" s="235"/>
      <c r="Y12" s="235"/>
      <c r="Z12" s="235"/>
      <c r="AA12" s="235"/>
      <c r="AB12" s="235"/>
    </row>
    <row r="13" spans="1:28" ht="15" customHeight="1">
      <c r="A13" s="556"/>
      <c r="B13" s="268"/>
      <c r="C13" s="666"/>
      <c r="D13" s="667"/>
      <c r="E13" s="667"/>
      <c r="F13" s="667"/>
      <c r="G13" s="269"/>
      <c r="H13" s="269"/>
      <c r="I13" s="269"/>
      <c r="J13" s="269"/>
      <c r="K13" s="269"/>
      <c r="L13" s="269"/>
      <c r="M13" s="269"/>
      <c r="N13" s="665" t="s">
        <v>2844</v>
      </c>
      <c r="O13" s="665"/>
      <c r="P13" s="665"/>
      <c r="Q13" s="665"/>
      <c r="R13" s="665"/>
      <c r="S13" s="235"/>
      <c r="U13" s="235"/>
      <c r="V13" s="235"/>
      <c r="W13" s="235"/>
      <c r="X13" s="235"/>
      <c r="Y13" s="235"/>
      <c r="Z13" s="235"/>
      <c r="AA13" s="235"/>
      <c r="AB13" s="235"/>
    </row>
    <row r="14" spans="1:28" ht="15" customHeight="1">
      <c r="A14" s="556"/>
      <c r="B14" s="655" t="s">
        <v>2782</v>
      </c>
      <c r="C14" s="655"/>
      <c r="D14" s="655"/>
      <c r="E14" s="655"/>
      <c r="F14" s="655"/>
      <c r="G14" s="655"/>
      <c r="H14" s="655"/>
      <c r="I14" s="655"/>
      <c r="J14" s="655"/>
      <c r="K14" s="655"/>
      <c r="L14" s="655"/>
      <c r="M14" s="655"/>
      <c r="N14" s="655"/>
      <c r="O14" s="655"/>
      <c r="P14" s="655"/>
      <c r="Q14" s="655"/>
      <c r="R14" s="655"/>
      <c r="S14" s="655"/>
      <c r="U14" s="235"/>
      <c r="V14" s="235"/>
      <c r="W14" s="235"/>
      <c r="X14" s="235"/>
      <c r="Y14" s="235"/>
      <c r="Z14" s="235"/>
      <c r="AA14" s="235"/>
      <c r="AB14" s="235"/>
    </row>
    <row r="15" spans="1:28" ht="15" customHeight="1">
      <c r="A15" s="556"/>
      <c r="B15" s="656" t="s">
        <v>1203</v>
      </c>
      <c r="C15" s="625" t="s">
        <v>1204</v>
      </c>
      <c r="D15" s="625"/>
      <c r="E15" s="625" t="s">
        <v>2783</v>
      </c>
      <c r="F15" s="627" t="s">
        <v>1158</v>
      </c>
      <c r="G15" s="629" t="s">
        <v>1219</v>
      </c>
      <c r="H15" s="629"/>
      <c r="I15" s="629"/>
      <c r="J15" s="629"/>
      <c r="K15" s="629"/>
      <c r="L15" s="629"/>
      <c r="M15" s="629"/>
      <c r="N15" s="629"/>
      <c r="O15" s="629"/>
      <c r="P15" s="629"/>
      <c r="Q15" s="629"/>
      <c r="R15" s="629"/>
      <c r="S15" s="668" t="s">
        <v>2784</v>
      </c>
      <c r="U15" s="235"/>
      <c r="V15" s="235"/>
      <c r="W15" s="235"/>
      <c r="X15" s="235"/>
      <c r="Y15" s="235"/>
      <c r="Z15" s="235"/>
      <c r="AA15" s="235"/>
      <c r="AB15" s="235"/>
    </row>
    <row r="16" spans="1:28">
      <c r="A16" s="556"/>
      <c r="B16" s="657"/>
      <c r="C16" s="626"/>
      <c r="D16" s="626"/>
      <c r="E16" s="626"/>
      <c r="F16" s="628"/>
      <c r="G16" s="271">
        <v>1</v>
      </c>
      <c r="H16" s="271">
        <v>2</v>
      </c>
      <c r="I16" s="271">
        <v>3</v>
      </c>
      <c r="J16" s="271">
        <v>4</v>
      </c>
      <c r="K16" s="271">
        <v>5</v>
      </c>
      <c r="L16" s="271">
        <v>6</v>
      </c>
      <c r="M16" s="271">
        <v>7</v>
      </c>
      <c r="N16" s="271">
        <v>8</v>
      </c>
      <c r="O16" s="271">
        <v>9</v>
      </c>
      <c r="P16" s="271">
        <v>10</v>
      </c>
      <c r="Q16" s="271">
        <v>11</v>
      </c>
      <c r="R16" s="271">
        <v>12</v>
      </c>
      <c r="S16" s="669"/>
      <c r="U16" s="235"/>
      <c r="V16" s="235"/>
      <c r="W16" s="235"/>
      <c r="X16" s="235"/>
      <c r="Y16" s="235"/>
      <c r="Z16" s="235"/>
      <c r="AA16" s="235"/>
      <c r="AB16" s="235"/>
    </row>
    <row r="17" spans="1:28" ht="15.75" thickBot="1">
      <c r="A17" s="556"/>
      <c r="B17" s="21" t="str">
        <f>RESUMO!B18</f>
        <v>01.00.000</v>
      </c>
      <c r="C17" s="630" t="str">
        <f>RESUMO!C18</f>
        <v>SERVIÇOS TÉCNICO-PROFISSIONAIS</v>
      </c>
      <c r="D17" s="631"/>
      <c r="E17" s="21">
        <f>RESUMO!D18*1.2026</f>
        <v>6102.4734399999988</v>
      </c>
      <c r="F17" s="43">
        <f>E17/E97</f>
        <v>2.0516320662130263E-4</v>
      </c>
      <c r="G17" s="44">
        <f>E17*G18</f>
        <v>6102.4734399999988</v>
      </c>
      <c r="H17" s="45"/>
      <c r="I17" s="45"/>
      <c r="J17" s="45"/>
      <c r="K17" s="45"/>
      <c r="L17" s="45"/>
      <c r="M17" s="45"/>
      <c r="N17" s="45"/>
      <c r="O17" s="45"/>
      <c r="P17" s="45"/>
      <c r="Q17" s="45"/>
      <c r="R17" s="45"/>
      <c r="S17" s="318">
        <f>SUM(G17:R17)</f>
        <v>6102.4734399999988</v>
      </c>
      <c r="U17" s="235"/>
      <c r="V17" s="235"/>
      <c r="W17" s="235"/>
      <c r="X17" s="235"/>
      <c r="Y17" s="235"/>
      <c r="Z17" s="235"/>
      <c r="AA17" s="235"/>
      <c r="AB17" s="235"/>
    </row>
    <row r="18" spans="1:28" ht="15.75" thickTop="1">
      <c r="A18" s="556"/>
      <c r="B18" s="23"/>
      <c r="C18" s="46"/>
      <c r="D18" s="86"/>
      <c r="E18" s="23" t="s">
        <v>1154</v>
      </c>
      <c r="F18" s="47"/>
      <c r="G18" s="48">
        <v>1</v>
      </c>
      <c r="H18" s="48"/>
      <c r="I18" s="48"/>
      <c r="J18" s="48"/>
      <c r="K18" s="48"/>
      <c r="L18" s="48"/>
      <c r="M18" s="48"/>
      <c r="N18" s="48"/>
      <c r="O18" s="48"/>
      <c r="P18" s="48"/>
      <c r="Q18" s="48"/>
      <c r="R18" s="48"/>
      <c r="S18" s="319" t="s">
        <v>1154</v>
      </c>
      <c r="U18" s="235"/>
      <c r="V18" s="235"/>
      <c r="W18" s="235"/>
      <c r="X18" s="235"/>
      <c r="Y18" s="235"/>
      <c r="Z18" s="235"/>
      <c r="AA18" s="235"/>
      <c r="AB18" s="235"/>
    </row>
    <row r="19" spans="1:28" ht="15.75" thickBot="1">
      <c r="A19" s="556"/>
      <c r="B19" s="49" t="str">
        <f>RESUMO!B19</f>
        <v>02.00.000</v>
      </c>
      <c r="C19" s="634" t="str">
        <f>RESUMO!C19</f>
        <v>SERVIÇOS PRELIMINARES</v>
      </c>
      <c r="D19" s="635"/>
      <c r="E19" s="49">
        <f>RESUMO!D19*1.2026</f>
        <v>848676.22704199993</v>
      </c>
      <c r="F19" s="50">
        <f>E19/E97</f>
        <v>2.8532223504967095E-2</v>
      </c>
      <c r="G19" s="51">
        <f>E19*G20</f>
        <v>661967.45709276001</v>
      </c>
      <c r="H19" s="51">
        <f>E19*H20</f>
        <v>186708.76994924</v>
      </c>
      <c r="I19" s="52"/>
      <c r="J19" s="52"/>
      <c r="K19" s="52"/>
      <c r="L19" s="52"/>
      <c r="M19" s="52"/>
      <c r="N19" s="52"/>
      <c r="O19" s="52"/>
      <c r="P19" s="52"/>
      <c r="Q19" s="52"/>
      <c r="R19" s="52"/>
      <c r="S19" s="319">
        <f>SUM(G19:R19)</f>
        <v>848676.22704200004</v>
      </c>
      <c r="U19" s="235"/>
      <c r="V19" s="235"/>
      <c r="W19" s="235"/>
      <c r="X19" s="235"/>
      <c r="Y19" s="235"/>
      <c r="Z19" s="235"/>
      <c r="AA19" s="235"/>
      <c r="AB19" s="235"/>
    </row>
    <row r="20" spans="1:28" ht="15.75" thickTop="1">
      <c r="A20" s="556"/>
      <c r="B20" s="53"/>
      <c r="C20" s="54"/>
      <c r="D20" s="55"/>
      <c r="E20" s="53"/>
      <c r="F20" s="56"/>
      <c r="G20" s="57">
        <v>0.78</v>
      </c>
      <c r="H20" s="57">
        <v>0.22</v>
      </c>
      <c r="I20" s="48"/>
      <c r="J20" s="48"/>
      <c r="K20" s="48"/>
      <c r="L20" s="48"/>
      <c r="M20" s="48"/>
      <c r="N20" s="48"/>
      <c r="O20" s="48"/>
      <c r="P20" s="48"/>
      <c r="Q20" s="48"/>
      <c r="R20" s="48"/>
      <c r="S20" s="319" t="s">
        <v>1154</v>
      </c>
      <c r="U20" s="235"/>
      <c r="V20" s="235"/>
      <c r="W20" s="235"/>
      <c r="X20" s="235"/>
      <c r="Y20" s="235"/>
      <c r="Z20" s="235"/>
      <c r="AA20" s="235"/>
      <c r="AB20" s="235"/>
    </row>
    <row r="21" spans="1:28">
      <c r="A21" s="556"/>
      <c r="B21" s="23" t="str">
        <f>[1]Orçamento!B62</f>
        <v>03.00.000</v>
      </c>
      <c r="C21" s="632" t="str">
        <f>[1]Orçamento!D62</f>
        <v xml:space="preserve">FUNDAÇÕES E ESTRUTURAS </v>
      </c>
      <c r="D21" s="633"/>
      <c r="E21" s="23" t="s">
        <v>1205</v>
      </c>
      <c r="F21" s="47" t="s">
        <v>1205</v>
      </c>
      <c r="G21" s="58"/>
      <c r="H21" s="58"/>
      <c r="I21" s="58"/>
      <c r="J21" s="58"/>
      <c r="K21" s="58"/>
      <c r="L21" s="58"/>
      <c r="M21" s="58"/>
      <c r="N21" s="58"/>
      <c r="O21" s="58"/>
      <c r="P21" s="58"/>
      <c r="Q21" s="58"/>
      <c r="R21" s="58"/>
      <c r="S21" s="319" t="s">
        <v>1154</v>
      </c>
      <c r="U21" s="235"/>
      <c r="V21" s="235"/>
      <c r="W21" s="235"/>
      <c r="X21" s="235"/>
      <c r="Y21" s="235"/>
      <c r="Z21" s="235"/>
      <c r="AA21" s="235"/>
      <c r="AB21" s="235"/>
    </row>
    <row r="22" spans="1:28" ht="15.75" thickBot="1">
      <c r="A22" s="556"/>
      <c r="B22" s="59" t="str">
        <f>RESUMO!B21</f>
        <v>03.01.400</v>
      </c>
      <c r="C22" s="622" t="str">
        <f>RESUMO!C21</f>
        <v>Fundações Profundas</v>
      </c>
      <c r="D22" s="623"/>
      <c r="E22" s="49">
        <f>RESUMO!D21*1.2026</f>
        <v>1265958.0910760001</v>
      </c>
      <c r="F22" s="50">
        <f>E22/E97</f>
        <v>4.2561106404968692E-2</v>
      </c>
      <c r="G22" s="60">
        <f>E22*G23</f>
        <v>632979.04553800006</v>
      </c>
      <c r="H22" s="60">
        <f>E22*H23</f>
        <v>632979.04553800006</v>
      </c>
      <c r="I22" s="61"/>
      <c r="J22" s="61"/>
      <c r="K22" s="61"/>
      <c r="L22" s="61"/>
      <c r="M22" s="61"/>
      <c r="N22" s="61"/>
      <c r="O22" s="61"/>
      <c r="P22" s="61"/>
      <c r="Q22" s="61"/>
      <c r="R22" s="61"/>
      <c r="S22" s="319">
        <f>SUM(G22:R22)</f>
        <v>1265958.0910760001</v>
      </c>
      <c r="U22" s="235"/>
      <c r="V22" s="235"/>
      <c r="W22" s="235"/>
      <c r="X22" s="235"/>
      <c r="Y22" s="235"/>
      <c r="Z22" s="235"/>
      <c r="AA22" s="235"/>
      <c r="AB22" s="235"/>
    </row>
    <row r="23" spans="1:28" ht="15.75" thickTop="1">
      <c r="A23" s="556"/>
      <c r="B23" s="62"/>
      <c r="C23" s="63"/>
      <c r="D23" s="64"/>
      <c r="E23" s="53"/>
      <c r="F23" s="56"/>
      <c r="G23" s="48">
        <v>0.5</v>
      </c>
      <c r="H23" s="48">
        <v>0.5</v>
      </c>
      <c r="I23" s="65"/>
      <c r="J23" s="65"/>
      <c r="K23" s="65"/>
      <c r="L23" s="65"/>
      <c r="M23" s="65"/>
      <c r="N23" s="65"/>
      <c r="O23" s="65"/>
      <c r="P23" s="65"/>
      <c r="Q23" s="65"/>
      <c r="R23" s="65"/>
      <c r="S23" s="319" t="s">
        <v>1154</v>
      </c>
      <c r="U23" s="235"/>
      <c r="V23" s="662" t="s">
        <v>2794</v>
      </c>
      <c r="W23" s="662"/>
      <c r="X23" s="662"/>
      <c r="Y23" s="662"/>
      <c r="Z23" s="662"/>
      <c r="AA23" s="662"/>
      <c r="AB23" s="235"/>
    </row>
    <row r="24" spans="1:28" ht="15.75" thickBot="1">
      <c r="A24" s="556"/>
      <c r="B24" s="59" t="str">
        <f>RESUMO!B22</f>
        <v>03.01.500</v>
      </c>
      <c r="C24" s="622" t="str">
        <f>RESUMO!C22</f>
        <v>Blocos e Cintas de Fundações</v>
      </c>
      <c r="D24" s="623"/>
      <c r="E24" s="49">
        <f>RESUMO!D22*1.2026</f>
        <v>1230863.5172259999</v>
      </c>
      <c r="F24" s="50">
        <f>E24/E97</f>
        <v>4.1381238048823224E-2</v>
      </c>
      <c r="G24" s="52"/>
      <c r="H24" s="51">
        <f>E24*H25</f>
        <v>430802.2310290999</v>
      </c>
      <c r="I24" s="51">
        <f>E24*I25</f>
        <v>430802.2310290999</v>
      </c>
      <c r="J24" s="51">
        <f>E24*J25</f>
        <v>369259.05516779993</v>
      </c>
      <c r="K24" s="61"/>
      <c r="L24" s="61"/>
      <c r="M24" s="61"/>
      <c r="N24" s="61"/>
      <c r="O24" s="61"/>
      <c r="P24" s="61"/>
      <c r="Q24" s="61"/>
      <c r="R24" s="61"/>
      <c r="S24" s="319">
        <f>SUM(G24:R24)</f>
        <v>1230863.5172259999</v>
      </c>
      <c r="U24" s="235"/>
      <c r="V24" s="670" t="s">
        <v>2795</v>
      </c>
      <c r="W24" s="670"/>
      <c r="X24" s="670"/>
      <c r="Y24" s="670"/>
      <c r="Z24" s="670"/>
      <c r="AA24" s="670"/>
      <c r="AB24" s="235"/>
    </row>
    <row r="25" spans="1:28" ht="15.75" thickTop="1">
      <c r="A25" s="556"/>
      <c r="B25" s="62"/>
      <c r="C25" s="63"/>
      <c r="D25" s="64"/>
      <c r="E25" s="53"/>
      <c r="F25" s="56"/>
      <c r="G25" s="48"/>
      <c r="H25" s="57">
        <v>0.35</v>
      </c>
      <c r="I25" s="57">
        <v>0.35</v>
      </c>
      <c r="J25" s="57">
        <v>0.3</v>
      </c>
      <c r="K25" s="65"/>
      <c r="L25" s="65"/>
      <c r="M25" s="65"/>
      <c r="N25" s="65"/>
      <c r="O25" s="65"/>
      <c r="P25" s="65"/>
      <c r="Q25" s="65"/>
      <c r="R25" s="65"/>
      <c r="S25" s="319" t="s">
        <v>1154</v>
      </c>
      <c r="U25" s="235"/>
      <c r="V25" s="235"/>
      <c r="W25" s="235"/>
      <c r="X25" s="235"/>
      <c r="Y25" s="235"/>
      <c r="Z25" s="235"/>
      <c r="AA25" s="235"/>
      <c r="AB25" s="235"/>
    </row>
    <row r="26" spans="1:28" ht="15.75" thickBot="1">
      <c r="A26" s="556"/>
      <c r="B26" s="59" t="str">
        <f>RESUMO!B23</f>
        <v>03.02.000</v>
      </c>
      <c r="C26" s="622" t="str">
        <f>RESUMO!C23</f>
        <v>Estruturas de concreto</v>
      </c>
      <c r="D26" s="623"/>
      <c r="E26" s="49">
        <f>RESUMO!D23*1.2026</f>
        <v>4138365.9422139996</v>
      </c>
      <c r="F26" s="50">
        <f>E26/E97</f>
        <v>0.1391305403005593</v>
      </c>
      <c r="G26" s="58"/>
      <c r="H26" s="51">
        <f>E26*H27</f>
        <v>620754.89133209991</v>
      </c>
      <c r="I26" s="51">
        <f>E26*I27</f>
        <v>1034591.4855534999</v>
      </c>
      <c r="J26" s="51">
        <f>E26*J27</f>
        <v>1034591.4855534999</v>
      </c>
      <c r="K26" s="51">
        <f>E26*K27</f>
        <v>1034591.4855534999</v>
      </c>
      <c r="L26" s="51">
        <f>E26*L27</f>
        <v>413836.59422139998</v>
      </c>
      <c r="M26" s="61"/>
      <c r="N26" s="61"/>
      <c r="O26" s="61"/>
      <c r="P26" s="61"/>
      <c r="Q26" s="61"/>
      <c r="R26" s="61"/>
      <c r="S26" s="319">
        <f>SUM(G26:R26)</f>
        <v>4138365.9422139996</v>
      </c>
      <c r="U26" s="235"/>
      <c r="V26" s="235"/>
      <c r="W26" s="235"/>
      <c r="X26" s="235"/>
      <c r="Y26" s="235"/>
      <c r="Z26" s="235"/>
      <c r="AA26" s="235"/>
      <c r="AB26" s="235"/>
    </row>
    <row r="27" spans="1:28" ht="15.75" thickTop="1">
      <c r="A27" s="556"/>
      <c r="B27" s="62"/>
      <c r="C27" s="63"/>
      <c r="D27" s="64"/>
      <c r="E27" s="53"/>
      <c r="F27" s="56"/>
      <c r="G27" s="65"/>
      <c r="H27" s="57">
        <v>0.15</v>
      </c>
      <c r="I27" s="57">
        <v>0.25</v>
      </c>
      <c r="J27" s="57">
        <v>0.25</v>
      </c>
      <c r="K27" s="57">
        <v>0.25</v>
      </c>
      <c r="L27" s="57">
        <v>0.1</v>
      </c>
      <c r="M27" s="65"/>
      <c r="N27" s="65"/>
      <c r="O27" s="65"/>
      <c r="P27" s="65"/>
      <c r="Q27" s="65"/>
      <c r="R27" s="65"/>
      <c r="S27" s="319" t="s">
        <v>1154</v>
      </c>
      <c r="U27" s="235"/>
      <c r="V27" s="235"/>
      <c r="W27" s="235"/>
      <c r="X27" s="235"/>
      <c r="Y27" s="235"/>
      <c r="Z27" s="235"/>
      <c r="AA27" s="235"/>
      <c r="AB27" s="235"/>
    </row>
    <row r="28" spans="1:28" ht="15.75" thickBot="1">
      <c r="A28" s="556"/>
      <c r="B28" s="24" t="str">
        <f>RESUMO!B24</f>
        <v>03.03.000</v>
      </c>
      <c r="C28" s="25" t="str">
        <f>RESUMO!C24</f>
        <v>Estruturas Metálicas</v>
      </c>
      <c r="D28" s="87"/>
      <c r="E28" s="23">
        <f>RESUMO!D24*1.2026</f>
        <v>6221536.9612339996</v>
      </c>
      <c r="F28" s="50">
        <f>E28/E97</f>
        <v>0.20916608415090826</v>
      </c>
      <c r="G28" s="65"/>
      <c r="H28" s="48"/>
      <c r="I28" s="48"/>
      <c r="J28" s="60">
        <f>E28*J29</f>
        <v>1244307.3922468</v>
      </c>
      <c r="K28" s="60">
        <f>E28*K29</f>
        <v>1555384.2403084999</v>
      </c>
      <c r="L28" s="60">
        <f>E28*L29</f>
        <v>1555384.2403084999</v>
      </c>
      <c r="M28" s="60">
        <f>E28*M29</f>
        <v>1244307.3922468</v>
      </c>
      <c r="N28" s="60">
        <f>E28*N29</f>
        <v>622153.6961234</v>
      </c>
      <c r="O28" s="65"/>
      <c r="P28" s="65"/>
      <c r="Q28" s="65"/>
      <c r="R28" s="65"/>
      <c r="S28" s="319">
        <f>SUM(G28:R28)</f>
        <v>6221536.9612339986</v>
      </c>
      <c r="U28" s="235"/>
      <c r="V28" s="235"/>
      <c r="W28" s="235"/>
      <c r="X28" s="235"/>
      <c r="Y28" s="235"/>
      <c r="Z28" s="235"/>
      <c r="AA28" s="235"/>
      <c r="AB28" s="235"/>
    </row>
    <row r="29" spans="1:28" ht="15.75" thickTop="1">
      <c r="A29" s="556"/>
      <c r="B29" s="24"/>
      <c r="C29" s="25"/>
      <c r="D29" s="87"/>
      <c r="E29" s="23"/>
      <c r="F29" s="47"/>
      <c r="G29" s="65"/>
      <c r="H29" s="48"/>
      <c r="I29" s="48"/>
      <c r="J29" s="48">
        <v>0.2</v>
      </c>
      <c r="K29" s="48">
        <v>0.25</v>
      </c>
      <c r="L29" s="48">
        <v>0.25</v>
      </c>
      <c r="M29" s="48">
        <v>0.2</v>
      </c>
      <c r="N29" s="48">
        <v>0.1</v>
      </c>
      <c r="O29" s="65"/>
      <c r="P29" s="65"/>
      <c r="Q29" s="65"/>
      <c r="R29" s="65"/>
      <c r="S29" s="319" t="s">
        <v>1154</v>
      </c>
      <c r="U29" s="235"/>
      <c r="V29" s="662" t="s">
        <v>2796</v>
      </c>
      <c r="W29" s="662"/>
      <c r="X29" s="662"/>
      <c r="Y29" s="662"/>
      <c r="Z29" s="662"/>
      <c r="AA29" s="662"/>
      <c r="AB29" s="235"/>
    </row>
    <row r="30" spans="1:28">
      <c r="A30" s="556"/>
      <c r="B30" s="66" t="str">
        <f>[1]Orçamento!B124</f>
        <v>04.00.000</v>
      </c>
      <c r="C30" s="660" t="str">
        <f>[1]Orçamento!D124</f>
        <v>ARQUITETURA E ELEMENTOS DE URBANISMO</v>
      </c>
      <c r="D30" s="661"/>
      <c r="E30" s="66" t="s">
        <v>1154</v>
      </c>
      <c r="F30" s="67" t="s">
        <v>1154</v>
      </c>
      <c r="G30" s="61"/>
      <c r="H30" s="58"/>
      <c r="I30" s="58"/>
      <c r="J30" s="58"/>
      <c r="K30" s="58"/>
      <c r="L30" s="58"/>
      <c r="M30" s="61"/>
      <c r="N30" s="61"/>
      <c r="O30" s="61"/>
      <c r="P30" s="61"/>
      <c r="Q30" s="61"/>
      <c r="R30" s="61"/>
      <c r="S30" s="319" t="s">
        <v>1154</v>
      </c>
      <c r="U30" s="235"/>
      <c r="V30" s="670" t="s">
        <v>2795</v>
      </c>
      <c r="W30" s="670"/>
      <c r="X30" s="670"/>
      <c r="Y30" s="670"/>
      <c r="Z30" s="670"/>
      <c r="AA30" s="670"/>
      <c r="AB30" s="235"/>
    </row>
    <row r="31" spans="1:28" ht="15.75" thickBot="1">
      <c r="A31" s="556"/>
      <c r="B31" s="59" t="str">
        <f>RESUMO!B26</f>
        <v>04.01.100</v>
      </c>
      <c r="C31" s="101" t="str">
        <f>RESUMO!C26</f>
        <v>Paredes</v>
      </c>
      <c r="D31" s="102"/>
      <c r="E31" s="49">
        <f>RESUMO!D26*1.2026</f>
        <v>972608.91933799989</v>
      </c>
      <c r="F31" s="50">
        <f>E31/E97</f>
        <v>3.2698801009425446E-2</v>
      </c>
      <c r="G31" s="61"/>
      <c r="H31" s="61"/>
      <c r="I31" s="61"/>
      <c r="J31" s="52" t="s">
        <v>1154</v>
      </c>
      <c r="K31" s="51">
        <f>E31*K32</f>
        <v>145891.33790069999</v>
      </c>
      <c r="L31" s="51">
        <f>E31*L32</f>
        <v>194521.7838676</v>
      </c>
      <c r="M31" s="51">
        <f>E31*M32</f>
        <v>194521.7838676</v>
      </c>
      <c r="N31" s="60">
        <f>E31*N32</f>
        <v>194521.7838676</v>
      </c>
      <c r="O31" s="60">
        <f>E31*O32</f>
        <v>145891.33790069999</v>
      </c>
      <c r="P31" s="60">
        <f>E31*P32</f>
        <v>97260.891933799998</v>
      </c>
      <c r="Q31" s="61"/>
      <c r="R31" s="61"/>
      <c r="S31" s="319">
        <f>SUM(G31:R31)</f>
        <v>972608.91933800001</v>
      </c>
      <c r="U31" s="235"/>
      <c r="V31" s="235"/>
      <c r="W31" s="235"/>
      <c r="X31" s="235"/>
      <c r="Y31" s="235"/>
      <c r="Z31" s="235"/>
      <c r="AA31" s="235"/>
      <c r="AB31" s="235"/>
    </row>
    <row r="32" spans="1:28" ht="15.75" thickTop="1">
      <c r="A32" s="556"/>
      <c r="B32" s="62"/>
      <c r="C32" s="63"/>
      <c r="D32" s="64"/>
      <c r="E32" s="53"/>
      <c r="F32" s="56"/>
      <c r="G32" s="65"/>
      <c r="H32" s="65"/>
      <c r="I32" s="65"/>
      <c r="J32" s="48" t="s">
        <v>1154</v>
      </c>
      <c r="K32" s="57">
        <v>0.15</v>
      </c>
      <c r="L32" s="57">
        <v>0.2</v>
      </c>
      <c r="M32" s="57">
        <v>0.2</v>
      </c>
      <c r="N32" s="48">
        <v>0.2</v>
      </c>
      <c r="O32" s="48">
        <v>0.15</v>
      </c>
      <c r="P32" s="48">
        <v>0.1</v>
      </c>
      <c r="Q32" s="65"/>
      <c r="R32" s="65"/>
      <c r="S32" s="319" t="s">
        <v>1154</v>
      </c>
      <c r="U32" s="235"/>
      <c r="V32" s="235"/>
      <c r="W32" s="235"/>
      <c r="X32" s="235"/>
      <c r="Y32" s="235"/>
      <c r="Z32" s="235"/>
      <c r="AA32" s="235"/>
      <c r="AB32" s="235"/>
    </row>
    <row r="33" spans="1:28" ht="15.75" thickBot="1">
      <c r="A33" s="556"/>
      <c r="B33" s="59" t="str">
        <f>RESUMO!B27</f>
        <v>04.01.200</v>
      </c>
      <c r="C33" s="622" t="str">
        <f>RESUMO!C27</f>
        <v>Esquadrias</v>
      </c>
      <c r="D33" s="623"/>
      <c r="E33" s="49">
        <f>RESUMO!D27*1.2026</f>
        <v>1837605.7632659997</v>
      </c>
      <c r="F33" s="50">
        <f>E33/E97</f>
        <v>6.1779718437814116E-2</v>
      </c>
      <c r="G33" s="61"/>
      <c r="H33" s="61"/>
      <c r="I33" s="61"/>
      <c r="J33" s="61"/>
      <c r="K33" s="61"/>
      <c r="L33" s="51">
        <f>E33*L34</f>
        <v>275640.86448989995</v>
      </c>
      <c r="M33" s="51">
        <f>E33*M34</f>
        <v>367521.15265319997</v>
      </c>
      <c r="N33" s="51">
        <f>E33*N34</f>
        <v>367521.15265319997</v>
      </c>
      <c r="O33" s="51">
        <f>E33*O34</f>
        <v>367521.15265319997</v>
      </c>
      <c r="P33" s="60">
        <f>E33*P34</f>
        <v>275640.86448989995</v>
      </c>
      <c r="Q33" s="60">
        <f>E33*Q34</f>
        <v>183760.57632659998</v>
      </c>
      <c r="R33" s="58"/>
      <c r="S33" s="319">
        <f>SUM(G33:R33)</f>
        <v>1837605.7632659997</v>
      </c>
      <c r="U33" s="235"/>
      <c r="V33" s="235"/>
      <c r="W33" s="235"/>
      <c r="X33" s="235"/>
      <c r="Y33" s="235"/>
      <c r="Z33" s="235"/>
      <c r="AA33" s="235"/>
      <c r="AB33" s="235"/>
    </row>
    <row r="34" spans="1:28" ht="15.75" thickTop="1">
      <c r="A34" s="556"/>
      <c r="B34" s="62"/>
      <c r="C34" s="63"/>
      <c r="D34" s="64"/>
      <c r="E34" s="53"/>
      <c r="F34" s="56"/>
      <c r="G34" s="65"/>
      <c r="H34" s="65"/>
      <c r="I34" s="65"/>
      <c r="J34" s="65"/>
      <c r="K34" s="65"/>
      <c r="L34" s="57">
        <v>0.15</v>
      </c>
      <c r="M34" s="57">
        <v>0.2</v>
      </c>
      <c r="N34" s="57">
        <v>0.2</v>
      </c>
      <c r="O34" s="57">
        <v>0.2</v>
      </c>
      <c r="P34" s="48">
        <v>0.15</v>
      </c>
      <c r="Q34" s="48">
        <v>0.1</v>
      </c>
      <c r="R34" s="65"/>
      <c r="S34" s="319" t="s">
        <v>1154</v>
      </c>
      <c r="U34" s="235"/>
      <c r="V34" s="235"/>
      <c r="W34" s="235"/>
      <c r="X34" s="235"/>
      <c r="Y34" s="235"/>
      <c r="Z34" s="235"/>
      <c r="AA34" s="235"/>
      <c r="AB34" s="235"/>
    </row>
    <row r="35" spans="1:28" ht="15.75" thickBot="1">
      <c r="A35" s="556"/>
      <c r="B35" s="59" t="str">
        <f>RESUMO!B28</f>
        <v>04.01.240</v>
      </c>
      <c r="C35" s="622" t="str">
        <f>RESUMO!C28</f>
        <v>Portas e Janelas de vidro</v>
      </c>
      <c r="D35" s="623"/>
      <c r="E35" s="49">
        <f>RESUMO!D28*1.2026</f>
        <v>251908.03272599998</v>
      </c>
      <c r="F35" s="50">
        <f>E35/E97</f>
        <v>8.4690675470977892E-3</v>
      </c>
      <c r="G35" s="61"/>
      <c r="H35" s="61"/>
      <c r="I35" s="61"/>
      <c r="J35" s="61"/>
      <c r="K35" s="52" t="s">
        <v>1154</v>
      </c>
      <c r="L35" s="52" t="s">
        <v>1154</v>
      </c>
      <c r="M35" s="52" t="s">
        <v>1154</v>
      </c>
      <c r="N35" s="52" t="s">
        <v>1154</v>
      </c>
      <c r="O35" s="52" t="s">
        <v>1154</v>
      </c>
      <c r="P35" s="52" t="s">
        <v>1154</v>
      </c>
      <c r="Q35" s="60">
        <f>E35*Q36</f>
        <v>125954.01636299999</v>
      </c>
      <c r="R35" s="60">
        <f>E35*R36</f>
        <v>125954.01636299999</v>
      </c>
      <c r="S35" s="319">
        <f>SUM(G35:R35)</f>
        <v>251908.03272599998</v>
      </c>
      <c r="U35" s="235"/>
      <c r="V35" s="662" t="s">
        <v>2797</v>
      </c>
      <c r="W35" s="662"/>
      <c r="X35" s="662"/>
      <c r="Y35" s="662"/>
      <c r="Z35" s="662"/>
      <c r="AA35" s="662"/>
      <c r="AB35" s="235"/>
    </row>
    <row r="36" spans="1:28" ht="15.75" thickTop="1">
      <c r="A36" s="556"/>
      <c r="B36" s="62"/>
      <c r="C36" s="63"/>
      <c r="D36" s="64"/>
      <c r="E36" s="53"/>
      <c r="F36" s="56"/>
      <c r="G36" s="65"/>
      <c r="H36" s="65"/>
      <c r="I36" s="65"/>
      <c r="J36" s="65"/>
      <c r="K36" s="48"/>
      <c r="L36" s="48"/>
      <c r="M36" s="48"/>
      <c r="N36" s="48"/>
      <c r="O36" s="48"/>
      <c r="P36" s="48" t="s">
        <v>1154</v>
      </c>
      <c r="Q36" s="48">
        <v>0.5</v>
      </c>
      <c r="R36" s="48">
        <v>0.5</v>
      </c>
      <c r="S36" s="319" t="s">
        <v>1154</v>
      </c>
      <c r="U36" s="235"/>
      <c r="V36" s="670" t="s">
        <v>2795</v>
      </c>
      <c r="W36" s="670"/>
      <c r="X36" s="670"/>
      <c r="Y36" s="670"/>
      <c r="Z36" s="670"/>
      <c r="AA36" s="670"/>
      <c r="AB36" s="235"/>
    </row>
    <row r="37" spans="1:28" ht="15.75" thickBot="1">
      <c r="A37" s="556"/>
      <c r="B37" s="59" t="str">
        <f>RESUMO!B29</f>
        <v>04.01.300</v>
      </c>
      <c r="C37" s="622" t="str">
        <f>RESUMO!C29</f>
        <v>Vidros e Plásticos</v>
      </c>
      <c r="D37" s="623"/>
      <c r="E37" s="49">
        <f>RESUMO!D29*1.2026</f>
        <v>460942.124748</v>
      </c>
      <c r="F37" s="50">
        <f>E37/E97</f>
        <v>1.5496726910807529E-2</v>
      </c>
      <c r="G37" s="61"/>
      <c r="H37" s="61"/>
      <c r="I37" s="61"/>
      <c r="J37" s="61"/>
      <c r="K37" s="58"/>
      <c r="L37" s="58"/>
      <c r="M37" s="58"/>
      <c r="N37" s="52" t="s">
        <v>1154</v>
      </c>
      <c r="O37" s="51">
        <f>E37*O38</f>
        <v>115235.531187</v>
      </c>
      <c r="P37" s="51">
        <f>E37*P38</f>
        <v>115235.531187</v>
      </c>
      <c r="Q37" s="60">
        <f>E37*Q38</f>
        <v>115235.531187</v>
      </c>
      <c r="R37" s="60">
        <f>E37*R38</f>
        <v>115235.531187</v>
      </c>
      <c r="S37" s="319">
        <f>SUM(G37:R37)</f>
        <v>460942.124748</v>
      </c>
      <c r="U37" s="235"/>
      <c r="V37" s="235"/>
      <c r="W37" s="235"/>
      <c r="X37" s="235"/>
      <c r="Y37" s="235"/>
      <c r="Z37" s="235"/>
      <c r="AA37" s="235"/>
      <c r="AB37" s="235"/>
    </row>
    <row r="38" spans="1:28" ht="15.75" thickTop="1">
      <c r="A38" s="556"/>
      <c r="B38" s="62"/>
      <c r="C38" s="63"/>
      <c r="D38" s="64"/>
      <c r="E38" s="53"/>
      <c r="F38" s="56"/>
      <c r="G38" s="65"/>
      <c r="H38" s="65"/>
      <c r="I38" s="65"/>
      <c r="J38" s="65"/>
      <c r="K38" s="65"/>
      <c r="L38" s="65"/>
      <c r="M38" s="65"/>
      <c r="N38" s="48" t="s">
        <v>1154</v>
      </c>
      <c r="O38" s="57">
        <v>0.25</v>
      </c>
      <c r="P38" s="57">
        <v>0.25</v>
      </c>
      <c r="Q38" s="65">
        <v>0.25</v>
      </c>
      <c r="R38" s="65">
        <v>0.25</v>
      </c>
      <c r="S38" s="319" t="s">
        <v>1154</v>
      </c>
      <c r="U38" s="235"/>
      <c r="V38" s="235"/>
      <c r="W38" s="235"/>
      <c r="X38" s="235"/>
      <c r="Y38" s="235"/>
      <c r="Z38" s="235"/>
      <c r="AA38" s="235"/>
      <c r="AB38" s="235"/>
    </row>
    <row r="39" spans="1:28" ht="15.75" thickBot="1">
      <c r="A39" s="556"/>
      <c r="B39" s="59" t="str">
        <f>RESUMO!B30</f>
        <v>04.01.400</v>
      </c>
      <c r="C39" s="622" t="str">
        <f>RESUMO!C30</f>
        <v>Cobertura e Fechamento Lateral</v>
      </c>
      <c r="D39" s="623"/>
      <c r="E39" s="49">
        <f>RESUMO!D30*1.2026</f>
        <v>206320.61753799999</v>
      </c>
      <c r="F39" s="50">
        <f>E39/E97</f>
        <v>6.9364332188201145E-3</v>
      </c>
      <c r="G39" s="61"/>
      <c r="H39" s="61"/>
      <c r="I39" s="61"/>
      <c r="J39" s="61"/>
      <c r="K39" s="61"/>
      <c r="L39" s="61"/>
      <c r="M39" s="52"/>
      <c r="N39" s="51">
        <f>E39*N40</f>
        <v>103160.308769</v>
      </c>
      <c r="O39" s="60">
        <f>E39*O40</f>
        <v>103160.308769</v>
      </c>
      <c r="P39" s="58"/>
      <c r="Q39" s="61"/>
      <c r="R39" s="61"/>
      <c r="S39" s="319">
        <f>SUM(G39:R39)</f>
        <v>206320.61753799999</v>
      </c>
      <c r="U39" s="235"/>
      <c r="V39" s="235"/>
      <c r="W39" s="235"/>
      <c r="X39" s="235"/>
      <c r="Y39" s="235"/>
      <c r="Z39" s="235"/>
      <c r="AA39" s="235"/>
      <c r="AB39" s="235"/>
    </row>
    <row r="40" spans="1:28" ht="15.75" thickTop="1">
      <c r="A40" s="556"/>
      <c r="B40" s="62"/>
      <c r="C40" s="63"/>
      <c r="D40" s="64"/>
      <c r="E40" s="53"/>
      <c r="F40" s="56"/>
      <c r="G40" s="65"/>
      <c r="H40" s="65"/>
      <c r="I40" s="65"/>
      <c r="J40" s="65"/>
      <c r="K40" s="65"/>
      <c r="L40" s="65"/>
      <c r="M40" s="48"/>
      <c r="N40" s="57">
        <v>0.5</v>
      </c>
      <c r="O40" s="48">
        <v>0.5</v>
      </c>
      <c r="P40" s="65"/>
      <c r="Q40" s="65"/>
      <c r="R40" s="65"/>
      <c r="S40" s="319" t="s">
        <v>1154</v>
      </c>
      <c r="U40" s="235"/>
      <c r="V40" s="235"/>
      <c r="W40" s="235"/>
      <c r="X40" s="235"/>
      <c r="Y40" s="235"/>
      <c r="Z40" s="235"/>
      <c r="AA40" s="235"/>
      <c r="AB40" s="235"/>
    </row>
    <row r="41" spans="1:28" ht="15.75" thickBot="1">
      <c r="A41" s="556"/>
      <c r="B41" s="24" t="str">
        <f>RESUMO!B31</f>
        <v>04.01.510</v>
      </c>
      <c r="C41" s="652" t="str">
        <f>RESUMO!C31</f>
        <v>Revestimentos de Pisos</v>
      </c>
      <c r="D41" s="653"/>
      <c r="E41" s="49">
        <f>RESUMO!D31*1.2026</f>
        <v>1821792.174566</v>
      </c>
      <c r="F41" s="50">
        <f>E41/E97</f>
        <v>6.1248070639952933E-2</v>
      </c>
      <c r="G41" s="61"/>
      <c r="H41" s="61"/>
      <c r="I41" s="61"/>
      <c r="J41" s="61"/>
      <c r="K41" s="61"/>
      <c r="L41" s="51">
        <f>E41*L42</f>
        <v>182179.21745660002</v>
      </c>
      <c r="M41" s="51">
        <f>E41*M42</f>
        <v>182179.21745660002</v>
      </c>
      <c r="N41" s="51">
        <f>E41*N42</f>
        <v>364358.43491320004</v>
      </c>
      <c r="O41" s="51">
        <f>E41*O42</f>
        <v>364358.43491320004</v>
      </c>
      <c r="P41" s="51">
        <f>E41*P42</f>
        <v>364358.43491320004</v>
      </c>
      <c r="Q41" s="51">
        <f>E41*Q42</f>
        <v>364358.43491320004</v>
      </c>
      <c r="R41" s="52"/>
      <c r="S41" s="319">
        <f>SUM(G41:R41)</f>
        <v>1821792.1745660002</v>
      </c>
      <c r="U41" s="235"/>
      <c r="V41" s="662" t="s">
        <v>2798</v>
      </c>
      <c r="W41" s="662"/>
      <c r="X41" s="662"/>
      <c r="Y41" s="662"/>
      <c r="Z41" s="662"/>
      <c r="AA41" s="662"/>
      <c r="AB41" s="235"/>
    </row>
    <row r="42" spans="1:28" ht="15.75" thickTop="1">
      <c r="A42" s="556"/>
      <c r="B42" s="24"/>
      <c r="C42" s="25"/>
      <c r="D42" s="87"/>
      <c r="E42" s="53"/>
      <c r="F42" s="56"/>
      <c r="G42" s="65"/>
      <c r="H42" s="65"/>
      <c r="I42" s="65"/>
      <c r="J42" s="65"/>
      <c r="K42" s="65"/>
      <c r="L42" s="57">
        <v>0.1</v>
      </c>
      <c r="M42" s="57">
        <v>0.1</v>
      </c>
      <c r="N42" s="57">
        <v>0.2</v>
      </c>
      <c r="O42" s="57">
        <v>0.2</v>
      </c>
      <c r="P42" s="57">
        <v>0.2</v>
      </c>
      <c r="Q42" s="57">
        <v>0.2</v>
      </c>
      <c r="R42" s="65"/>
      <c r="S42" s="319" t="s">
        <v>1154</v>
      </c>
      <c r="U42" s="235"/>
      <c r="V42" s="235"/>
      <c r="W42" s="235"/>
      <c r="X42" s="235"/>
      <c r="Y42" s="235"/>
      <c r="Z42" s="235"/>
      <c r="AA42" s="235"/>
      <c r="AB42" s="235"/>
    </row>
    <row r="43" spans="1:28" ht="15.75" thickBot="1">
      <c r="A43" s="556"/>
      <c r="B43" s="59" t="str">
        <f>RESUMO!B32</f>
        <v>04.01.530</v>
      </c>
      <c r="C43" s="622" t="str">
        <f>RESUMO!C32</f>
        <v>Revestimentos de Paredes</v>
      </c>
      <c r="D43" s="623"/>
      <c r="E43" s="49">
        <f>RESUMO!D32*1.2026</f>
        <v>629676.29705399985</v>
      </c>
      <c r="F43" s="50">
        <f>E43/E97</f>
        <v>2.1169515854054504E-2</v>
      </c>
      <c r="G43" s="61"/>
      <c r="H43" s="61"/>
      <c r="I43" s="61"/>
      <c r="J43" s="61"/>
      <c r="K43" s="61"/>
      <c r="L43" s="58"/>
      <c r="M43" s="51">
        <f>E43*M44</f>
        <v>62967.629705399988</v>
      </c>
      <c r="N43" s="51">
        <f>E43*N44</f>
        <v>94451.444558099975</v>
      </c>
      <c r="O43" s="51">
        <f>E43*O44</f>
        <v>125935.25941079998</v>
      </c>
      <c r="P43" s="51">
        <f>E43*P44</f>
        <v>157419.07426349996</v>
      </c>
      <c r="Q43" s="51">
        <f>E43*Q44</f>
        <v>157419.07426349996</v>
      </c>
      <c r="R43" s="60">
        <f>E43*R44</f>
        <v>31483.814852699994</v>
      </c>
      <c r="S43" s="319">
        <f>SUM(G43:R43)</f>
        <v>629676.29705399985</v>
      </c>
      <c r="U43" s="235"/>
      <c r="V43" s="235"/>
      <c r="W43" s="235"/>
      <c r="X43" s="235"/>
      <c r="Y43" s="235"/>
      <c r="Z43" s="235"/>
      <c r="AA43" s="235"/>
      <c r="AB43" s="235"/>
    </row>
    <row r="44" spans="1:28" ht="15.75" thickTop="1">
      <c r="A44" s="556"/>
      <c r="B44" s="62"/>
      <c r="C44" s="63"/>
      <c r="D44" s="64"/>
      <c r="E44" s="53"/>
      <c r="F44" s="56"/>
      <c r="G44" s="65"/>
      <c r="H44" s="65"/>
      <c r="I44" s="65"/>
      <c r="J44" s="65"/>
      <c r="K44" s="65"/>
      <c r="L44" s="65"/>
      <c r="M44" s="57">
        <v>0.1</v>
      </c>
      <c r="N44" s="57">
        <v>0.15</v>
      </c>
      <c r="O44" s="57">
        <v>0.2</v>
      </c>
      <c r="P44" s="57">
        <v>0.25</v>
      </c>
      <c r="Q44" s="57">
        <v>0.25</v>
      </c>
      <c r="R44" s="57">
        <v>0.05</v>
      </c>
      <c r="S44" s="319" t="s">
        <v>1154</v>
      </c>
      <c r="U44" s="235"/>
      <c r="V44" s="235"/>
      <c r="W44" s="235"/>
      <c r="X44" s="235"/>
      <c r="Y44" s="235"/>
      <c r="Z44" s="235"/>
      <c r="AA44" s="235"/>
      <c r="AB44" s="235"/>
    </row>
    <row r="45" spans="1:28" ht="15.75" thickBot="1">
      <c r="A45" s="556"/>
      <c r="B45" s="59" t="str">
        <f>RESUMO!B33</f>
        <v>04.01.550</v>
      </c>
      <c r="C45" s="622" t="str">
        <f>RESUMO!C33</f>
        <v>Revestimentos de Forros</v>
      </c>
      <c r="D45" s="623"/>
      <c r="E45" s="49">
        <f>RESUMO!D33*1.2026</f>
        <v>233530.78944999998</v>
      </c>
      <c r="F45" s="47">
        <f>E45/E97</f>
        <v>7.8512305017695051E-3</v>
      </c>
      <c r="G45" s="61"/>
      <c r="H45" s="61"/>
      <c r="I45" s="61"/>
      <c r="J45" s="61"/>
      <c r="K45" s="61"/>
      <c r="L45" s="61"/>
      <c r="M45" s="58"/>
      <c r="N45" s="52"/>
      <c r="O45" s="51">
        <f>E45*O46</f>
        <v>46706.157890000002</v>
      </c>
      <c r="P45" s="51">
        <f>E45*P46</f>
        <v>70059.236834999989</v>
      </c>
      <c r="Q45" s="51">
        <f>E45*Q46</f>
        <v>70059.236834999989</v>
      </c>
      <c r="R45" s="60">
        <f>E45*R46</f>
        <v>46706.157890000002</v>
      </c>
      <c r="S45" s="319">
        <f>SUM(G45:R45)</f>
        <v>233530.78944999998</v>
      </c>
      <c r="U45" s="235"/>
      <c r="V45" s="235"/>
      <c r="W45" s="235"/>
      <c r="X45" s="235"/>
      <c r="Y45" s="235"/>
      <c r="Z45" s="235"/>
      <c r="AA45" s="235"/>
      <c r="AB45" s="235"/>
    </row>
    <row r="46" spans="1:28" ht="15.75" thickTop="1">
      <c r="A46" s="556"/>
      <c r="B46" s="62"/>
      <c r="C46" s="63"/>
      <c r="D46" s="64"/>
      <c r="E46" s="23"/>
      <c r="F46" s="47"/>
      <c r="G46" s="65"/>
      <c r="H46" s="65"/>
      <c r="I46" s="65"/>
      <c r="J46" s="65"/>
      <c r="K46" s="65"/>
      <c r="L46" s="65"/>
      <c r="M46" s="65"/>
      <c r="N46" s="48"/>
      <c r="O46" s="57">
        <v>0.2</v>
      </c>
      <c r="P46" s="57">
        <v>0.3</v>
      </c>
      <c r="Q46" s="57">
        <v>0.3</v>
      </c>
      <c r="R46" s="57">
        <v>0.2</v>
      </c>
      <c r="S46" s="319" t="s">
        <v>1154</v>
      </c>
      <c r="U46" s="235"/>
      <c r="V46" s="235"/>
      <c r="W46" s="235"/>
      <c r="X46" s="235"/>
      <c r="Y46" s="235"/>
      <c r="Z46" s="235"/>
      <c r="AA46" s="235"/>
      <c r="AB46" s="235"/>
    </row>
    <row r="47" spans="1:28" ht="15.75" thickBot="1">
      <c r="A47" s="556"/>
      <c r="B47" s="59" t="str">
        <f>RESUMO!B34</f>
        <v>04.01.560</v>
      </c>
      <c r="C47" s="622" t="str">
        <f>RESUMO!C34</f>
        <v>Pinturas</v>
      </c>
      <c r="D47" s="623"/>
      <c r="E47" s="49">
        <f>RESUMO!D34*1.2026</f>
        <v>588087.7673859999</v>
      </c>
      <c r="F47" s="50">
        <f>E47/E97</f>
        <v>1.9771322778862351E-2</v>
      </c>
      <c r="G47" s="61"/>
      <c r="H47" s="61"/>
      <c r="I47" s="61"/>
      <c r="J47" s="61"/>
      <c r="K47" s="61"/>
      <c r="L47" s="61"/>
      <c r="M47" s="61"/>
      <c r="N47" s="51">
        <f>E47*N48</f>
        <v>58808.77673859999</v>
      </c>
      <c r="O47" s="51">
        <f>E47*O48</f>
        <v>88213.165107899986</v>
      </c>
      <c r="P47" s="51">
        <f>E47*P48</f>
        <v>147021.94184649998</v>
      </c>
      <c r="Q47" s="51">
        <f>E47*Q48</f>
        <v>147021.94184649998</v>
      </c>
      <c r="R47" s="60">
        <f>E47*R48</f>
        <v>147021.94184649998</v>
      </c>
      <c r="S47" s="319">
        <f>SUM(G47:R47)</f>
        <v>588087.7673859999</v>
      </c>
      <c r="U47" s="235"/>
      <c r="V47" s="235"/>
      <c r="W47" s="235"/>
      <c r="X47" s="235"/>
      <c r="Y47" s="235"/>
      <c r="Z47" s="235"/>
      <c r="AA47" s="235"/>
      <c r="AB47" s="235"/>
    </row>
    <row r="48" spans="1:28" ht="15.75" thickTop="1">
      <c r="A48" s="556"/>
      <c r="B48" s="62"/>
      <c r="C48" s="63"/>
      <c r="D48" s="64"/>
      <c r="E48" s="53"/>
      <c r="F48" s="56"/>
      <c r="G48" s="65"/>
      <c r="H48" s="65"/>
      <c r="I48" s="65"/>
      <c r="J48" s="65"/>
      <c r="K48" s="65"/>
      <c r="L48" s="65"/>
      <c r="M48" s="65"/>
      <c r="N48" s="57">
        <v>0.1</v>
      </c>
      <c r="O48" s="57">
        <v>0.15</v>
      </c>
      <c r="P48" s="57">
        <v>0.25</v>
      </c>
      <c r="Q48" s="57">
        <v>0.25</v>
      </c>
      <c r="R48" s="57">
        <v>0.25</v>
      </c>
      <c r="S48" s="319" t="s">
        <v>1154</v>
      </c>
      <c r="U48" s="235"/>
      <c r="V48" s="235"/>
      <c r="W48" s="235"/>
      <c r="X48" s="235"/>
      <c r="Y48" s="235"/>
      <c r="Z48" s="235"/>
      <c r="AA48" s="235"/>
      <c r="AB48" s="235"/>
    </row>
    <row r="49" spans="1:28" ht="15.75" thickBot="1">
      <c r="A49" s="556"/>
      <c r="B49" s="59" t="str">
        <f>RESUMO!B35</f>
        <v>04.01.580</v>
      </c>
      <c r="C49" s="622" t="str">
        <f>RESUMO!C35</f>
        <v>Mantas Termo-acústicas</v>
      </c>
      <c r="D49" s="623"/>
      <c r="E49" s="49">
        <f>RESUMO!D35*1.2026</f>
        <v>38162.803308000002</v>
      </c>
      <c r="F49" s="50">
        <f>E49/E97</f>
        <v>1.2830212498765644E-3</v>
      </c>
      <c r="G49" s="61"/>
      <c r="H49" s="61"/>
      <c r="I49" s="61"/>
      <c r="J49" s="61"/>
      <c r="K49" s="61"/>
      <c r="L49" s="61"/>
      <c r="M49" s="61"/>
      <c r="N49" s="58"/>
      <c r="O49" s="58"/>
      <c r="P49" s="51">
        <f>E49*P50</f>
        <v>38162.803308000002</v>
      </c>
      <c r="Q49" s="58"/>
      <c r="R49" s="58"/>
      <c r="S49" s="319">
        <f>SUM(G49:R49)</f>
        <v>38162.803308000002</v>
      </c>
      <c r="U49" s="235"/>
      <c r="V49" s="235"/>
      <c r="W49" s="235"/>
      <c r="X49" s="235"/>
      <c r="Y49" s="235"/>
      <c r="Z49" s="235"/>
      <c r="AA49" s="235"/>
      <c r="AB49" s="235"/>
    </row>
    <row r="50" spans="1:28" ht="15.75" thickTop="1">
      <c r="A50" s="556"/>
      <c r="B50" s="62"/>
      <c r="C50" s="63"/>
      <c r="D50" s="64"/>
      <c r="E50" s="53"/>
      <c r="F50" s="56"/>
      <c r="G50" s="65"/>
      <c r="H50" s="65"/>
      <c r="I50" s="65"/>
      <c r="J50" s="65"/>
      <c r="K50" s="65"/>
      <c r="L50" s="65"/>
      <c r="M50" s="65"/>
      <c r="N50" s="65"/>
      <c r="O50" s="65"/>
      <c r="P50" s="57">
        <v>1</v>
      </c>
      <c r="Q50" s="65"/>
      <c r="R50" s="65"/>
      <c r="S50" s="319" t="s">
        <v>1154</v>
      </c>
      <c r="U50" s="235"/>
      <c r="V50" s="235"/>
      <c r="W50" s="235"/>
      <c r="X50" s="235"/>
      <c r="Y50" s="235"/>
      <c r="Z50" s="235"/>
      <c r="AA50" s="235"/>
      <c r="AB50" s="235"/>
    </row>
    <row r="51" spans="1:28" ht="15.75" thickBot="1">
      <c r="A51" s="556"/>
      <c r="B51" s="59" t="str">
        <f>RESUMO!B36</f>
        <v>04.01.600</v>
      </c>
      <c r="C51" s="622" t="str">
        <f>RESUMO!C36</f>
        <v>Impermeabilizações</v>
      </c>
      <c r="D51" s="623"/>
      <c r="E51" s="49">
        <f>RESUMO!D36*1.2026</f>
        <v>3539321.2862279993</v>
      </c>
      <c r="F51" s="50">
        <f>E51/E97</f>
        <v>0.11899085042893194</v>
      </c>
      <c r="G51" s="61"/>
      <c r="H51" s="61"/>
      <c r="I51" s="61"/>
      <c r="J51" s="61"/>
      <c r="K51" s="61"/>
      <c r="L51" s="51">
        <f>E51*L52</f>
        <v>530898.19293419982</v>
      </c>
      <c r="M51" s="51">
        <f>E51*M52</f>
        <v>530898.19293419982</v>
      </c>
      <c r="N51" s="51">
        <f>E51*N52</f>
        <v>884830.32155699981</v>
      </c>
      <c r="O51" s="51">
        <f>E51*O52</f>
        <v>884830.32155699981</v>
      </c>
      <c r="P51" s="51">
        <f>E51*P52</f>
        <v>707864.25724559987</v>
      </c>
      <c r="Q51" s="61"/>
      <c r="R51" s="61"/>
      <c r="S51" s="319">
        <f>SUM(G51:R51)</f>
        <v>3539321.2862279988</v>
      </c>
      <c r="U51" s="235"/>
      <c r="V51" s="235"/>
      <c r="W51" s="235"/>
      <c r="X51" s="235"/>
      <c r="Y51" s="235"/>
      <c r="Z51" s="235"/>
      <c r="AA51" s="235"/>
      <c r="AB51" s="235"/>
    </row>
    <row r="52" spans="1:28" ht="15.75" thickTop="1">
      <c r="A52" s="556"/>
      <c r="B52" s="62"/>
      <c r="C52" s="63"/>
      <c r="D52" s="64"/>
      <c r="E52" s="53"/>
      <c r="F52" s="56"/>
      <c r="G52" s="65"/>
      <c r="H52" s="65"/>
      <c r="I52" s="65"/>
      <c r="J52" s="65"/>
      <c r="K52" s="65" t="s">
        <v>1154</v>
      </c>
      <c r="L52" s="57">
        <v>0.15</v>
      </c>
      <c r="M52" s="57">
        <v>0.15</v>
      </c>
      <c r="N52" s="57">
        <v>0.25</v>
      </c>
      <c r="O52" s="57">
        <v>0.25</v>
      </c>
      <c r="P52" s="57">
        <v>0.2</v>
      </c>
      <c r="Q52" s="65"/>
      <c r="R52" s="65"/>
      <c r="S52" s="319" t="s">
        <v>1154</v>
      </c>
      <c r="U52" s="235"/>
      <c r="V52" s="235"/>
      <c r="W52" s="235"/>
      <c r="X52" s="235"/>
      <c r="Y52" s="235"/>
      <c r="Z52" s="235"/>
      <c r="AA52" s="235"/>
      <c r="AB52" s="235"/>
    </row>
    <row r="53" spans="1:28" ht="15.75" thickBot="1">
      <c r="A53" s="556"/>
      <c r="B53" s="59" t="str">
        <f>RESUMO!B37</f>
        <v>04.01.700</v>
      </c>
      <c r="C53" s="622" t="str">
        <f>RESUMO!C37</f>
        <v>Acabamentos e arremates</v>
      </c>
      <c r="D53" s="623"/>
      <c r="E53" s="49">
        <f>RESUMO!D37*1.2026</f>
        <v>163660.054152</v>
      </c>
      <c r="F53" s="50">
        <f>E53/E97</f>
        <v>5.5021987126650015E-3</v>
      </c>
      <c r="G53" s="61"/>
      <c r="H53" s="61"/>
      <c r="I53" s="61"/>
      <c r="J53" s="61"/>
      <c r="K53" s="61"/>
      <c r="L53" s="51">
        <f>E53*L54</f>
        <v>8183.0027076000006</v>
      </c>
      <c r="M53" s="51">
        <f>E53*M54</f>
        <v>16366.005415200001</v>
      </c>
      <c r="N53" s="51">
        <f>E53*N54</f>
        <v>24549.008122799998</v>
      </c>
      <c r="O53" s="51">
        <f>E53*O54</f>
        <v>32732.010830400002</v>
      </c>
      <c r="P53" s="51">
        <f>E53*P54</f>
        <v>32732.010830400002</v>
      </c>
      <c r="Q53" s="51">
        <f>E53*Q54</f>
        <v>32732.010830400002</v>
      </c>
      <c r="R53" s="60">
        <f>E53*R54</f>
        <v>16366.005415200001</v>
      </c>
      <c r="S53" s="319">
        <f>SUM(G53:R53)</f>
        <v>163660.054152</v>
      </c>
      <c r="U53" s="235"/>
      <c r="V53" s="235"/>
      <c r="W53" s="235"/>
      <c r="X53" s="235"/>
      <c r="Y53" s="235"/>
      <c r="Z53" s="235"/>
      <c r="AA53" s="235"/>
      <c r="AB53" s="235"/>
    </row>
    <row r="54" spans="1:28" ht="15.75" thickTop="1">
      <c r="A54" s="556"/>
      <c r="B54" s="24"/>
      <c r="C54" s="25"/>
      <c r="D54" s="87"/>
      <c r="E54" s="53"/>
      <c r="F54" s="56"/>
      <c r="G54" s="65"/>
      <c r="H54" s="65"/>
      <c r="I54" s="65"/>
      <c r="J54" s="65"/>
      <c r="K54" s="65"/>
      <c r="L54" s="57">
        <v>0.05</v>
      </c>
      <c r="M54" s="57">
        <v>0.1</v>
      </c>
      <c r="N54" s="57">
        <v>0.15</v>
      </c>
      <c r="O54" s="57">
        <v>0.2</v>
      </c>
      <c r="P54" s="57">
        <v>0.2</v>
      </c>
      <c r="Q54" s="57">
        <v>0.2</v>
      </c>
      <c r="R54" s="57">
        <v>0.1</v>
      </c>
      <c r="S54" s="319" t="s">
        <v>1154</v>
      </c>
      <c r="U54" s="235"/>
      <c r="V54" s="235"/>
      <c r="W54" s="235"/>
      <c r="X54" s="235"/>
      <c r="Y54" s="235"/>
      <c r="Z54" s="235"/>
      <c r="AA54" s="235"/>
      <c r="AB54" s="235"/>
    </row>
    <row r="55" spans="1:28" ht="15.75" thickBot="1">
      <c r="A55" s="556"/>
      <c r="B55" s="59" t="str">
        <f>RESUMO!B38</f>
        <v>04.01.800</v>
      </c>
      <c r="C55" s="622" t="str">
        <f>RESUMO!C38</f>
        <v>Equipamentos e acessórios</v>
      </c>
      <c r="D55" s="623"/>
      <c r="E55" s="49">
        <f>RESUMO!D38*1.2026</f>
        <v>85465.342563999991</v>
      </c>
      <c r="F55" s="50">
        <f>E55/E97</f>
        <v>2.8733175011439859E-3</v>
      </c>
      <c r="G55" s="61"/>
      <c r="H55" s="61"/>
      <c r="I55" s="61"/>
      <c r="J55" s="61"/>
      <c r="K55" s="61"/>
      <c r="L55" s="61"/>
      <c r="M55" s="51">
        <f>E55*M56</f>
        <v>17093.0685128</v>
      </c>
      <c r="N55" s="51">
        <f>E55*N56</f>
        <v>25639.602769199995</v>
      </c>
      <c r="O55" s="51">
        <f>E55*O56</f>
        <v>25639.602769199995</v>
      </c>
      <c r="P55" s="51">
        <f>E55*P56</f>
        <v>17093.0685128</v>
      </c>
      <c r="Q55" s="52" t="s">
        <v>1154</v>
      </c>
      <c r="R55" s="52"/>
      <c r="S55" s="319">
        <f>SUM(G55:R55)</f>
        <v>85465.342563999991</v>
      </c>
      <c r="U55" s="235"/>
      <c r="V55" s="235"/>
      <c r="W55" s="235"/>
      <c r="X55" s="235"/>
      <c r="Y55" s="235"/>
      <c r="Z55" s="235"/>
      <c r="AA55" s="235"/>
      <c r="AB55" s="235"/>
    </row>
    <row r="56" spans="1:28" ht="15.75" thickTop="1">
      <c r="A56" s="556"/>
      <c r="B56" s="62"/>
      <c r="C56" s="63"/>
      <c r="D56" s="64"/>
      <c r="E56" s="53"/>
      <c r="F56" s="56"/>
      <c r="G56" s="65"/>
      <c r="H56" s="65"/>
      <c r="I56" s="65"/>
      <c r="J56" s="65"/>
      <c r="K56" s="65"/>
      <c r="L56" s="65"/>
      <c r="M56" s="57">
        <v>0.2</v>
      </c>
      <c r="N56" s="57">
        <v>0.3</v>
      </c>
      <c r="O56" s="57">
        <v>0.3</v>
      </c>
      <c r="P56" s="57">
        <v>0.2</v>
      </c>
      <c r="Q56" s="48" t="s">
        <v>1154</v>
      </c>
      <c r="R56" s="48"/>
      <c r="S56" s="319" t="s">
        <v>1154</v>
      </c>
      <c r="U56" s="235"/>
      <c r="V56" s="235"/>
      <c r="W56" s="235"/>
      <c r="X56" s="235"/>
      <c r="Y56" s="235"/>
      <c r="Z56" s="235"/>
      <c r="AA56" s="235"/>
      <c r="AB56" s="235"/>
    </row>
    <row r="57" spans="1:28" ht="15.75" thickBot="1">
      <c r="A57" s="556"/>
      <c r="B57" s="59" t="str">
        <f>RESUMO!B39</f>
        <v>04.02.000</v>
      </c>
      <c r="C57" s="622" t="str">
        <f>RESUMO!C39</f>
        <v>Comunicação visual</v>
      </c>
      <c r="D57" s="623"/>
      <c r="E57" s="49">
        <f>RESUMO!D39*1.2026</f>
        <v>8368.6769319999985</v>
      </c>
      <c r="F57" s="50">
        <f>E57/E97</f>
        <v>2.8135224371363181E-4</v>
      </c>
      <c r="G57" s="65"/>
      <c r="H57" s="65"/>
      <c r="I57" s="65"/>
      <c r="J57" s="65"/>
      <c r="K57" s="65"/>
      <c r="L57" s="65"/>
      <c r="M57" s="65"/>
      <c r="N57" s="65"/>
      <c r="O57" s="65"/>
      <c r="P57" s="65"/>
      <c r="Q57" s="52" t="s">
        <v>1154</v>
      </c>
      <c r="R57" s="99">
        <f>E57*R58</f>
        <v>8368.6769319999985</v>
      </c>
      <c r="S57" s="319">
        <f>SUM(G57:R57)</f>
        <v>8368.6769319999985</v>
      </c>
      <c r="U57" s="235"/>
      <c r="V57" s="235"/>
      <c r="W57" s="235"/>
      <c r="X57" s="235"/>
      <c r="Y57" s="235"/>
      <c r="Z57" s="235"/>
      <c r="AA57" s="235"/>
      <c r="AB57" s="235"/>
    </row>
    <row r="58" spans="1:28" ht="15.75" thickTop="1">
      <c r="A58" s="556"/>
      <c r="B58" s="62"/>
      <c r="C58" s="63"/>
      <c r="D58" s="64"/>
      <c r="E58" s="23"/>
      <c r="F58" s="47"/>
      <c r="G58" s="65"/>
      <c r="H58" s="65"/>
      <c r="I58" s="65"/>
      <c r="J58" s="65"/>
      <c r="K58" s="65"/>
      <c r="L58" s="65"/>
      <c r="M58" s="65"/>
      <c r="N58" s="65"/>
      <c r="O58" s="65"/>
      <c r="P58" s="65"/>
      <c r="Q58" s="48" t="s">
        <v>1154</v>
      </c>
      <c r="R58" s="70">
        <v>1</v>
      </c>
      <c r="S58" s="319" t="s">
        <v>1154</v>
      </c>
      <c r="U58" s="235"/>
      <c r="V58" s="235"/>
      <c r="W58" s="235"/>
      <c r="X58" s="235"/>
      <c r="Y58" s="235"/>
      <c r="Z58" s="235"/>
      <c r="AA58" s="235"/>
      <c r="AB58" s="235"/>
    </row>
    <row r="59" spans="1:28" ht="15.75" thickBot="1">
      <c r="A59" s="556"/>
      <c r="B59" s="59" t="str">
        <f>RESUMO!B40</f>
        <v>04.04.000</v>
      </c>
      <c r="C59" s="622" t="str">
        <f>RESUMO!C40</f>
        <v>Paisagismo</v>
      </c>
      <c r="D59" s="623"/>
      <c r="E59" s="49">
        <f>RESUMO!D40*1.2026</f>
        <v>184340.09603799999</v>
      </c>
      <c r="F59" s="50">
        <f>E59/E97</f>
        <v>6.1974551112564894E-3</v>
      </c>
      <c r="G59" s="61"/>
      <c r="H59" s="61"/>
      <c r="I59" s="61"/>
      <c r="J59" s="61"/>
      <c r="K59" s="61"/>
      <c r="L59" s="61"/>
      <c r="M59" s="61"/>
      <c r="N59" s="61"/>
      <c r="O59" s="61"/>
      <c r="P59" s="52"/>
      <c r="Q59" s="52"/>
      <c r="R59" s="99">
        <f>E59*R60</f>
        <v>184340.09603799999</v>
      </c>
      <c r="S59" s="319">
        <f>SUM(G59:R59)</f>
        <v>184340.09603799999</v>
      </c>
      <c r="U59" s="235"/>
      <c r="V59" s="235"/>
      <c r="W59" s="235"/>
      <c r="X59" s="235"/>
      <c r="Y59" s="235"/>
      <c r="Z59" s="235"/>
      <c r="AA59" s="235"/>
      <c r="AB59" s="235"/>
    </row>
    <row r="60" spans="1:28" ht="15.75" thickTop="1">
      <c r="A60" s="556"/>
      <c r="B60" s="62"/>
      <c r="C60" s="63"/>
      <c r="D60" s="64"/>
      <c r="E60" s="53"/>
      <c r="F60" s="56"/>
      <c r="G60" s="65"/>
      <c r="H60" s="65"/>
      <c r="I60" s="65"/>
      <c r="J60" s="65"/>
      <c r="K60" s="65"/>
      <c r="L60" s="65"/>
      <c r="M60" s="65"/>
      <c r="N60" s="65"/>
      <c r="O60" s="65"/>
      <c r="P60" s="48"/>
      <c r="Q60" s="48"/>
      <c r="R60" s="70">
        <v>1</v>
      </c>
      <c r="S60" s="319" t="s">
        <v>1154</v>
      </c>
      <c r="U60" s="235"/>
      <c r="V60" s="235"/>
      <c r="W60" s="235"/>
      <c r="X60" s="235"/>
      <c r="Y60" s="235"/>
      <c r="Z60" s="235"/>
      <c r="AA60" s="235"/>
      <c r="AB60" s="235"/>
    </row>
    <row r="61" spans="1:28" ht="15.75" thickBot="1">
      <c r="A61" s="556"/>
      <c r="B61" s="59" t="str">
        <f>RESUMO!B41</f>
        <v>04.05.000</v>
      </c>
      <c r="C61" s="622" t="str">
        <f>RESUMO!C41</f>
        <v>Pavimentação</v>
      </c>
      <c r="D61" s="623"/>
      <c r="E61" s="49">
        <f>RESUMO!D41*1.2026</f>
        <v>498131.95249999996</v>
      </c>
      <c r="F61" s="50">
        <f>E61/E97</f>
        <v>1.6747037033467273E-2</v>
      </c>
      <c r="G61" s="61"/>
      <c r="H61" s="61"/>
      <c r="I61" s="61"/>
      <c r="J61" s="61"/>
      <c r="K61" s="61"/>
      <c r="L61" s="61"/>
      <c r="M61" s="61"/>
      <c r="N61" s="61"/>
      <c r="O61" s="52"/>
      <c r="P61" s="52"/>
      <c r="Q61" s="68">
        <f>E61*Q62</f>
        <v>199252.78099999999</v>
      </c>
      <c r="R61" s="99">
        <f>E61*R62</f>
        <v>298879.17149999994</v>
      </c>
      <c r="S61" s="319">
        <f>SUM(G61:R61)</f>
        <v>498131.9524999999</v>
      </c>
      <c r="U61" s="235"/>
      <c r="V61" s="235"/>
      <c r="W61" s="235"/>
      <c r="X61" s="235"/>
      <c r="Y61" s="235"/>
      <c r="Z61" s="235"/>
      <c r="AA61" s="235"/>
      <c r="AB61" s="235"/>
    </row>
    <row r="62" spans="1:28" ht="15.75" thickTop="1">
      <c r="A62" s="556"/>
      <c r="B62" s="62" t="s">
        <v>1154</v>
      </c>
      <c r="C62" s="54"/>
      <c r="D62" s="55"/>
      <c r="E62" s="53"/>
      <c r="F62" s="56"/>
      <c r="G62" s="65"/>
      <c r="H62" s="65"/>
      <c r="I62" s="65"/>
      <c r="J62" s="65"/>
      <c r="K62" s="65"/>
      <c r="L62" s="65"/>
      <c r="M62" s="65"/>
      <c r="N62" s="65"/>
      <c r="O62" s="48"/>
      <c r="P62" s="48"/>
      <c r="Q62" s="69">
        <v>0.4</v>
      </c>
      <c r="R62" s="70">
        <v>0.6</v>
      </c>
      <c r="S62" s="319" t="s">
        <v>1154</v>
      </c>
      <c r="U62" s="235"/>
      <c r="V62" s="235"/>
      <c r="W62" s="235"/>
      <c r="X62" s="235"/>
      <c r="Y62" s="235"/>
      <c r="Z62" s="235"/>
      <c r="AA62" s="235"/>
      <c r="AB62" s="235"/>
    </row>
    <row r="63" spans="1:28" ht="15.75" thickBot="1">
      <c r="A63" s="556"/>
      <c r="B63" s="59" t="str">
        <f>RESUMO!B42</f>
        <v>04.06.000</v>
      </c>
      <c r="C63" s="622" t="str">
        <f>RESUMO!C42</f>
        <v>Sistema Viário</v>
      </c>
      <c r="D63" s="623"/>
      <c r="E63" s="49">
        <f>RESUMO!D42*1.2026</f>
        <v>5775.1497719999998</v>
      </c>
      <c r="F63" s="50">
        <f>E63/E97</f>
        <v>1.9415868952013087E-4</v>
      </c>
      <c r="G63" s="61"/>
      <c r="H63" s="61"/>
      <c r="I63" s="61"/>
      <c r="J63" s="61"/>
      <c r="K63" s="61"/>
      <c r="L63" s="61"/>
      <c r="M63" s="61"/>
      <c r="N63" s="61"/>
      <c r="O63" s="58"/>
      <c r="P63" s="58"/>
      <c r="Q63" s="58"/>
      <c r="R63" s="99">
        <f>E63*R64</f>
        <v>5775.1497719999998</v>
      </c>
      <c r="S63" s="319">
        <f>SUM(G63:R63)</f>
        <v>5775.1497719999998</v>
      </c>
      <c r="U63" s="235"/>
      <c r="V63" s="235"/>
      <c r="W63" s="235"/>
      <c r="X63" s="235"/>
      <c r="Y63" s="235"/>
      <c r="Z63" s="235"/>
      <c r="AA63" s="235"/>
      <c r="AB63" s="235"/>
    </row>
    <row r="64" spans="1:28" ht="15.75" thickTop="1">
      <c r="A64" s="556"/>
      <c r="B64" s="23"/>
      <c r="C64" s="46"/>
      <c r="D64" s="86"/>
      <c r="E64" s="53"/>
      <c r="F64" s="56"/>
      <c r="G64" s="65"/>
      <c r="H64" s="65"/>
      <c r="I64" s="65"/>
      <c r="J64" s="65"/>
      <c r="K64" s="65"/>
      <c r="L64" s="65"/>
      <c r="M64" s="65"/>
      <c r="N64" s="65"/>
      <c r="O64" s="65"/>
      <c r="P64" s="65"/>
      <c r="Q64" s="65"/>
      <c r="R64" s="70">
        <v>1</v>
      </c>
      <c r="S64" s="319" t="s">
        <v>1154</v>
      </c>
      <c r="U64" s="235"/>
      <c r="V64" s="235"/>
      <c r="W64" s="235"/>
      <c r="X64" s="235"/>
      <c r="Y64" s="235"/>
      <c r="Z64" s="235"/>
      <c r="AA64" s="235"/>
      <c r="AB64" s="235"/>
    </row>
    <row r="65" spans="1:28">
      <c r="A65" s="556"/>
      <c r="B65" s="110" t="str">
        <f>RESUMO!B43</f>
        <v>05.00.000</v>
      </c>
      <c r="C65" s="658" t="str">
        <f>RESUMO!C43</f>
        <v xml:space="preserve">INSTALAÇÕES HIDRÁULICAS E SANITÁRIAS </v>
      </c>
      <c r="D65" s="623"/>
      <c r="E65" s="23" t="s">
        <v>1154</v>
      </c>
      <c r="F65" s="47" t="s">
        <v>1154</v>
      </c>
      <c r="G65" s="61"/>
      <c r="H65" s="61"/>
      <c r="I65" s="61"/>
      <c r="J65" s="61"/>
      <c r="K65" s="61"/>
      <c r="L65" s="61"/>
      <c r="M65" s="61"/>
      <c r="N65" s="61"/>
      <c r="O65" s="61"/>
      <c r="P65" s="61"/>
      <c r="Q65" s="61"/>
      <c r="R65" s="61"/>
      <c r="S65" s="319" t="s">
        <v>1154</v>
      </c>
      <c r="U65" s="235"/>
      <c r="V65" s="235"/>
      <c r="W65" s="235"/>
      <c r="X65" s="235"/>
      <c r="Y65" s="235"/>
      <c r="Z65" s="235"/>
      <c r="AA65" s="235"/>
      <c r="AB65" s="235"/>
    </row>
    <row r="66" spans="1:28" ht="15.75" thickBot="1">
      <c r="A66" s="556"/>
      <c r="B66" s="59" t="str">
        <f>RESUMO!B44</f>
        <v>05.01.000</v>
      </c>
      <c r="C66" s="101" t="str">
        <f>RESUMO!C44</f>
        <v>Água Fria</v>
      </c>
      <c r="D66" s="102"/>
      <c r="E66" s="49">
        <f>RESUMO!D44*1.2026</f>
        <v>41325.172293999996</v>
      </c>
      <c r="F66" s="50">
        <f>E66/E97</f>
        <v>1.3893390844507884E-3</v>
      </c>
      <c r="G66" s="61"/>
      <c r="H66" s="61"/>
      <c r="I66" s="71"/>
      <c r="J66" s="71"/>
      <c r="K66" s="60">
        <f>E66*K67</f>
        <v>4132.5172293999995</v>
      </c>
      <c r="L66" s="60">
        <f>E66*L67</f>
        <v>6198.7758440999996</v>
      </c>
      <c r="M66" s="60">
        <f>E66*M67</f>
        <v>6198.7758440999996</v>
      </c>
      <c r="N66" s="60">
        <f>E66*N67</f>
        <v>6198.7758440999996</v>
      </c>
      <c r="O66" s="60">
        <f>E66*O67</f>
        <v>8265.0344587999989</v>
      </c>
      <c r="P66" s="60">
        <f>E66*P67</f>
        <v>8265.0344587999989</v>
      </c>
      <c r="Q66" s="60">
        <f>E66*Q67</f>
        <v>2066.2586146999997</v>
      </c>
      <c r="R66" s="61"/>
      <c r="S66" s="319">
        <f>SUM(G66:R66)</f>
        <v>41325.172293999996</v>
      </c>
      <c r="U66" s="235"/>
      <c r="V66" s="235"/>
      <c r="W66" s="235"/>
      <c r="X66" s="235"/>
      <c r="Y66" s="235"/>
      <c r="Z66" s="235"/>
      <c r="AA66" s="235"/>
      <c r="AB66" s="235"/>
    </row>
    <row r="67" spans="1:28" ht="15.75" thickTop="1">
      <c r="A67" s="556"/>
      <c r="B67" s="62"/>
      <c r="C67" s="63"/>
      <c r="D67" s="64"/>
      <c r="E67" s="23"/>
      <c r="F67" s="47"/>
      <c r="G67" s="61"/>
      <c r="H67" s="61"/>
      <c r="I67" s="71"/>
      <c r="J67" s="71"/>
      <c r="K67" s="48">
        <v>0.1</v>
      </c>
      <c r="L67" s="48">
        <v>0.15</v>
      </c>
      <c r="M67" s="48">
        <v>0.15</v>
      </c>
      <c r="N67" s="48">
        <v>0.15</v>
      </c>
      <c r="O67" s="48">
        <v>0.2</v>
      </c>
      <c r="P67" s="48">
        <v>0.2</v>
      </c>
      <c r="Q67" s="48">
        <v>0.05</v>
      </c>
      <c r="R67" s="61"/>
      <c r="S67" s="319" t="s">
        <v>1154</v>
      </c>
      <c r="U67" s="235"/>
      <c r="V67" s="235"/>
      <c r="W67" s="235"/>
      <c r="X67" s="235"/>
      <c r="Y67" s="235"/>
      <c r="Z67" s="235"/>
      <c r="AA67" s="235"/>
      <c r="AB67" s="235"/>
    </row>
    <row r="68" spans="1:28" ht="15.75" thickBot="1">
      <c r="A68" s="556"/>
      <c r="B68" s="59" t="str">
        <f>RESUMO!B45</f>
        <v>05.01.500</v>
      </c>
      <c r="C68" s="101" t="str">
        <f>RESUMO!C45</f>
        <v>Aparelhos e acessórios sanitários</v>
      </c>
      <c r="D68" s="102"/>
      <c r="E68" s="49">
        <f>RESUMO!D45*1.2026</f>
        <v>145592.94938999999</v>
      </c>
      <c r="F68" s="50">
        <f>E68/E97</f>
        <v>4.8947884250530116E-3</v>
      </c>
      <c r="G68" s="61"/>
      <c r="H68" s="61"/>
      <c r="I68" s="61"/>
      <c r="J68" s="61"/>
      <c r="K68" s="61"/>
      <c r="L68" s="61"/>
      <c r="M68" s="61"/>
      <c r="N68" s="61"/>
      <c r="O68" s="52"/>
      <c r="P68" s="60">
        <f>E68*P69</f>
        <v>43677.884816999998</v>
      </c>
      <c r="Q68" s="60">
        <f>E68*Q69</f>
        <v>43677.884816999998</v>
      </c>
      <c r="R68" s="60">
        <f>E68*R69</f>
        <v>58237.179755999998</v>
      </c>
      <c r="S68" s="319">
        <f>SUM(G68:R68)</f>
        <v>145592.94938999999</v>
      </c>
      <c r="U68" s="235"/>
      <c r="V68" s="235"/>
      <c r="W68" s="235"/>
      <c r="X68" s="235"/>
      <c r="Y68" s="235"/>
      <c r="Z68" s="235"/>
      <c r="AA68" s="235"/>
      <c r="AB68" s="235"/>
    </row>
    <row r="69" spans="1:28" ht="15.75" thickTop="1">
      <c r="A69" s="556"/>
      <c r="B69" s="62"/>
      <c r="C69" s="63"/>
      <c r="D69" s="64"/>
      <c r="E69" s="53"/>
      <c r="F69" s="56"/>
      <c r="G69" s="65"/>
      <c r="H69" s="65"/>
      <c r="I69" s="65"/>
      <c r="J69" s="65"/>
      <c r="K69" s="65"/>
      <c r="L69" s="65"/>
      <c r="M69" s="65"/>
      <c r="N69" s="65"/>
      <c r="O69" s="48"/>
      <c r="P69" s="48">
        <v>0.3</v>
      </c>
      <c r="Q69" s="48">
        <v>0.3</v>
      </c>
      <c r="R69" s="48">
        <v>0.4</v>
      </c>
      <c r="S69" s="319" t="s">
        <v>1154</v>
      </c>
      <c r="U69" s="235"/>
      <c r="V69" s="235"/>
      <c r="W69" s="235"/>
      <c r="X69" s="235"/>
      <c r="Y69" s="235"/>
      <c r="Z69" s="235"/>
      <c r="AA69" s="235"/>
      <c r="AB69" s="235"/>
    </row>
    <row r="70" spans="1:28" ht="15.75" thickBot="1">
      <c r="A70" s="556"/>
      <c r="B70" s="59" t="str">
        <f>RESUMO!B46</f>
        <v>05.03.000</v>
      </c>
      <c r="C70" s="101" t="str">
        <f>RESUMO!C46</f>
        <v>Drenagem de Águas Pluviais</v>
      </c>
      <c r="D70" s="102"/>
      <c r="E70" s="49">
        <f>RESUMO!D46*1.2026</f>
        <v>635755.0792739999</v>
      </c>
      <c r="F70" s="50">
        <f>E70/E97</f>
        <v>2.1373882569431436E-2</v>
      </c>
      <c r="G70" s="61"/>
      <c r="H70" s="61"/>
      <c r="I70" s="61"/>
      <c r="J70" s="61"/>
      <c r="K70" s="61"/>
      <c r="L70" s="61"/>
      <c r="M70" s="61"/>
      <c r="N70" s="60">
        <f>E70*N71</f>
        <v>95363.261891099988</v>
      </c>
      <c r="O70" s="60">
        <f>E70*O71</f>
        <v>95363.261891099988</v>
      </c>
      <c r="P70" s="60">
        <f>E70*P71</f>
        <v>190726.52378219998</v>
      </c>
      <c r="Q70" s="60">
        <f>E70*Q71</f>
        <v>190726.52378219998</v>
      </c>
      <c r="R70" s="60">
        <f>E70*R71</f>
        <v>63575.507927399995</v>
      </c>
      <c r="S70" s="319">
        <f>SUM(G70:R70)</f>
        <v>635755.0792739999</v>
      </c>
      <c r="U70" s="235"/>
      <c r="V70" s="235"/>
      <c r="W70" s="235"/>
      <c r="X70" s="235"/>
      <c r="Y70" s="235"/>
      <c r="Z70" s="235"/>
      <c r="AA70" s="235"/>
      <c r="AB70" s="235"/>
    </row>
    <row r="71" spans="1:28" ht="15.75" thickTop="1">
      <c r="A71" s="556"/>
      <c r="B71" s="62"/>
      <c r="C71" s="63"/>
      <c r="D71" s="64"/>
      <c r="E71" s="53"/>
      <c r="F71" s="56"/>
      <c r="G71" s="65"/>
      <c r="H71" s="65"/>
      <c r="I71" s="65"/>
      <c r="J71" s="65"/>
      <c r="K71" s="65"/>
      <c r="L71" s="65"/>
      <c r="M71" s="65"/>
      <c r="N71" s="48">
        <v>0.15</v>
      </c>
      <c r="O71" s="48">
        <v>0.15</v>
      </c>
      <c r="P71" s="48">
        <v>0.3</v>
      </c>
      <c r="Q71" s="48">
        <v>0.3</v>
      </c>
      <c r="R71" s="48">
        <v>0.1</v>
      </c>
      <c r="S71" s="319" t="s">
        <v>1154</v>
      </c>
      <c r="U71" s="235"/>
      <c r="V71" s="235"/>
      <c r="W71" s="235"/>
      <c r="X71" s="235"/>
      <c r="Y71" s="235"/>
      <c r="Z71" s="235"/>
      <c r="AA71" s="235"/>
      <c r="AB71" s="235"/>
    </row>
    <row r="72" spans="1:28" ht="15.75" thickBot="1">
      <c r="A72" s="556"/>
      <c r="B72" s="24" t="str">
        <f>RESUMO!B47</f>
        <v>05.04.000</v>
      </c>
      <c r="C72" s="25" t="str">
        <f>RESUMO!C47</f>
        <v>Esgotos Sanitários</v>
      </c>
      <c r="D72" s="87"/>
      <c r="E72" s="49">
        <f>RESUMO!D47*1.2026</f>
        <v>146284.74503999998</v>
      </c>
      <c r="F72" s="50">
        <f>E72/E97</f>
        <v>4.9180463736989404E-3</v>
      </c>
      <c r="G72" s="61"/>
      <c r="H72" s="61"/>
      <c r="I72" s="61"/>
      <c r="J72" s="61"/>
      <c r="K72" s="60">
        <f>E72*K73</f>
        <v>7314.237251999999</v>
      </c>
      <c r="L72" s="60">
        <f>E72*L73</f>
        <v>21942.711755999997</v>
      </c>
      <c r="M72" s="60">
        <f>E72*M73</f>
        <v>21942.711755999997</v>
      </c>
      <c r="N72" s="60">
        <f>E72*N73</f>
        <v>21942.711755999997</v>
      </c>
      <c r="O72" s="60">
        <f>E72*O73</f>
        <v>21942.711755999997</v>
      </c>
      <c r="P72" s="60">
        <f>E72*P73</f>
        <v>21942.711755999997</v>
      </c>
      <c r="Q72" s="60">
        <f>E72*Q73</f>
        <v>21942.711755999997</v>
      </c>
      <c r="R72" s="60">
        <f>E72*R73</f>
        <v>7314.237251999999</v>
      </c>
      <c r="S72" s="319">
        <f>SUM(G72:R72)</f>
        <v>146284.74503999998</v>
      </c>
      <c r="U72" s="235"/>
      <c r="V72" s="235"/>
      <c r="W72" s="235"/>
      <c r="X72" s="235"/>
      <c r="Y72" s="235"/>
      <c r="Z72" s="235"/>
      <c r="AA72" s="235"/>
      <c r="AB72" s="235"/>
    </row>
    <row r="73" spans="1:28" ht="15.75" thickTop="1">
      <c r="A73" s="556"/>
      <c r="B73" s="24"/>
      <c r="C73" s="25"/>
      <c r="D73" s="87"/>
      <c r="E73" s="53"/>
      <c r="F73" s="56"/>
      <c r="G73" s="65"/>
      <c r="H73" s="65"/>
      <c r="I73" s="65"/>
      <c r="J73" s="65"/>
      <c r="K73" s="48">
        <v>0.05</v>
      </c>
      <c r="L73" s="48">
        <v>0.15</v>
      </c>
      <c r="M73" s="48">
        <v>0.15</v>
      </c>
      <c r="N73" s="48">
        <v>0.15</v>
      </c>
      <c r="O73" s="48">
        <v>0.15</v>
      </c>
      <c r="P73" s="48">
        <v>0.15</v>
      </c>
      <c r="Q73" s="48">
        <v>0.15</v>
      </c>
      <c r="R73" s="48">
        <v>0.05</v>
      </c>
      <c r="S73" s="319" t="s">
        <v>1154</v>
      </c>
      <c r="U73" s="235"/>
      <c r="V73" s="235"/>
      <c r="W73" s="235"/>
      <c r="X73" s="235"/>
      <c r="Y73" s="235"/>
      <c r="Z73" s="235"/>
      <c r="AA73" s="235"/>
      <c r="AB73" s="235"/>
    </row>
    <row r="74" spans="1:28">
      <c r="A74" s="556"/>
      <c r="B74" s="110" t="str">
        <f>RESUMO!B48</f>
        <v>06.00.000</v>
      </c>
      <c r="C74" s="111" t="str">
        <f>RESUMO!C48</f>
        <v>INSTALAÇÕES ELÉTRICAS E ELETRÔNICAS</v>
      </c>
      <c r="D74" s="102"/>
      <c r="E74" s="23" t="s">
        <v>1154</v>
      </c>
      <c r="F74" s="47" t="s">
        <v>1154</v>
      </c>
      <c r="G74" s="61"/>
      <c r="H74" s="61"/>
      <c r="I74" s="61"/>
      <c r="J74" s="61"/>
      <c r="K74" s="61"/>
      <c r="L74" s="61"/>
      <c r="M74" s="61"/>
      <c r="N74" s="61"/>
      <c r="O74" s="61"/>
      <c r="P74" s="61"/>
      <c r="Q74" s="61"/>
      <c r="R74" s="61"/>
      <c r="S74" s="319" t="s">
        <v>1154</v>
      </c>
      <c r="U74" s="235"/>
      <c r="V74" s="235"/>
      <c r="W74" s="235"/>
      <c r="X74" s="235"/>
      <c r="Y74" s="235"/>
      <c r="Z74" s="235"/>
      <c r="AA74" s="235"/>
      <c r="AB74" s="235"/>
    </row>
    <row r="75" spans="1:28" ht="15.75" thickBot="1">
      <c r="A75" s="556"/>
      <c r="B75" s="59" t="str">
        <f>RESUMO!B49</f>
        <v>06.01.000</v>
      </c>
      <c r="C75" s="141" t="str">
        <f>RESUMO!C49</f>
        <v>Instalações Elétricas</v>
      </c>
      <c r="D75" s="104"/>
      <c r="E75" s="49">
        <f>RESUMO!D49*1.2026</f>
        <v>909770.32740999979</v>
      </c>
      <c r="F75" s="50">
        <f>E75/E97</f>
        <v>3.0586187632853996E-2</v>
      </c>
      <c r="G75" s="61"/>
      <c r="H75" s="61"/>
      <c r="I75" s="61"/>
      <c r="J75" s="61"/>
      <c r="K75" s="61"/>
      <c r="L75" s="61"/>
      <c r="M75" s="60">
        <f>E75*M76</f>
        <v>90977.032740999988</v>
      </c>
      <c r="N75" s="60">
        <f>E75*N76</f>
        <v>90977.032740999988</v>
      </c>
      <c r="O75" s="60">
        <f>E75*O76</f>
        <v>90977.032740999988</v>
      </c>
      <c r="P75" s="60">
        <f>E75*P76</f>
        <v>181954.06548199998</v>
      </c>
      <c r="Q75" s="60">
        <f>E75*Q76</f>
        <v>181954.06548199998</v>
      </c>
      <c r="R75" s="60">
        <f>E75*R76</f>
        <v>272931.09822299995</v>
      </c>
      <c r="S75" s="319">
        <f>SUM(G75:R75)</f>
        <v>909770.32740999991</v>
      </c>
      <c r="U75" s="235"/>
      <c r="V75" s="235"/>
      <c r="W75" s="235"/>
      <c r="X75" s="235"/>
      <c r="Y75" s="235"/>
      <c r="Z75" s="235"/>
      <c r="AA75" s="235"/>
      <c r="AB75" s="235"/>
    </row>
    <row r="76" spans="1:28" ht="15.75" thickTop="1">
      <c r="A76" s="556"/>
      <c r="B76" s="62"/>
      <c r="C76" s="105"/>
      <c r="D76" s="106"/>
      <c r="E76" s="53"/>
      <c r="F76" s="56"/>
      <c r="G76" s="65"/>
      <c r="H76" s="65"/>
      <c r="I76" s="65"/>
      <c r="J76" s="65"/>
      <c r="K76" s="65"/>
      <c r="L76" s="65"/>
      <c r="M76" s="48">
        <v>0.1</v>
      </c>
      <c r="N76" s="48">
        <v>0.1</v>
      </c>
      <c r="O76" s="48">
        <v>0.1</v>
      </c>
      <c r="P76" s="48">
        <v>0.2</v>
      </c>
      <c r="Q76" s="48">
        <v>0.2</v>
      </c>
      <c r="R76" s="48">
        <v>0.3</v>
      </c>
      <c r="S76" s="319" t="s">
        <v>1154</v>
      </c>
      <c r="U76" s="235"/>
      <c r="V76" s="235"/>
      <c r="W76" s="235"/>
      <c r="X76" s="235"/>
      <c r="Y76" s="235"/>
      <c r="Z76" s="235"/>
      <c r="AA76" s="235"/>
      <c r="AB76" s="235"/>
    </row>
    <row r="77" spans="1:28" ht="15.75" thickBot="1">
      <c r="A77" s="556"/>
      <c r="B77" s="24" t="str">
        <f>RESUMO!B50</f>
        <v>06.01.400</v>
      </c>
      <c r="C77" s="101" t="str">
        <f>RESUMO!C50</f>
        <v>Iluminação e Tomadas</v>
      </c>
      <c r="D77" s="107"/>
      <c r="E77" s="49">
        <f>RESUMO!D50*1.2026</f>
        <v>288681.40009799995</v>
      </c>
      <c r="F77" s="50">
        <f>E77/E97</f>
        <v>9.7053764048881976E-3</v>
      </c>
      <c r="G77" s="61"/>
      <c r="H77" s="61"/>
      <c r="I77" s="61"/>
      <c r="J77" s="61"/>
      <c r="K77" s="61"/>
      <c r="L77" s="61"/>
      <c r="M77" s="61"/>
      <c r="N77" s="61"/>
      <c r="O77" s="52"/>
      <c r="P77" s="52"/>
      <c r="Q77" s="60">
        <f>E77*Q78</f>
        <v>144340.70004899998</v>
      </c>
      <c r="R77" s="60">
        <f>E77*R78</f>
        <v>144340.70004899998</v>
      </c>
      <c r="S77" s="319">
        <f>SUM(G77:R77)</f>
        <v>288681.40009799995</v>
      </c>
      <c r="U77" s="235"/>
      <c r="V77" s="235"/>
      <c r="W77" s="235"/>
      <c r="X77" s="235"/>
      <c r="Y77" s="235"/>
      <c r="Z77" s="235"/>
      <c r="AA77" s="235"/>
      <c r="AB77" s="235"/>
    </row>
    <row r="78" spans="1:28" ht="15.75" thickTop="1">
      <c r="A78" s="556"/>
      <c r="B78" s="24"/>
      <c r="C78" s="25"/>
      <c r="D78" s="87"/>
      <c r="E78" s="53"/>
      <c r="F78" s="56"/>
      <c r="G78" s="65"/>
      <c r="H78" s="65"/>
      <c r="I78" s="65"/>
      <c r="J78" s="65"/>
      <c r="K78" s="65"/>
      <c r="L78" s="65"/>
      <c r="M78" s="65"/>
      <c r="N78" s="65"/>
      <c r="O78" s="48"/>
      <c r="P78" s="48"/>
      <c r="Q78" s="48">
        <v>0.5</v>
      </c>
      <c r="R78" s="48">
        <v>0.5</v>
      </c>
      <c r="S78" s="319" t="s">
        <v>1154</v>
      </c>
      <c r="U78" s="235"/>
      <c r="V78" s="235"/>
      <c r="W78" s="235"/>
      <c r="X78" s="235"/>
      <c r="Y78" s="235"/>
      <c r="Z78" s="235"/>
      <c r="AA78" s="235"/>
      <c r="AB78" s="235"/>
    </row>
    <row r="79" spans="1:28" ht="15.75" customHeight="1" thickBot="1">
      <c r="A79" s="556"/>
      <c r="B79" s="59" t="str">
        <f>RESUMO!B51</f>
        <v>06.01.500</v>
      </c>
      <c r="C79" s="636" t="str">
        <f>RESUMO!C51</f>
        <v>Aterramento e Proteção Contra Descargas Atmosféricas</v>
      </c>
      <c r="D79" s="637"/>
      <c r="E79" s="49">
        <f>RESUMO!D51*1.2026</f>
        <v>68304.865915999995</v>
      </c>
      <c r="F79" s="50">
        <f>E79/E97</f>
        <v>2.2963877609542996E-3</v>
      </c>
      <c r="G79" s="52"/>
      <c r="H79" s="60">
        <f>E79*H80</f>
        <v>3415.2432957999999</v>
      </c>
      <c r="I79" s="60">
        <f>E79*I80</f>
        <v>10245.729887399999</v>
      </c>
      <c r="J79" s="60">
        <f>E79*J80</f>
        <v>10245.729887399999</v>
      </c>
      <c r="K79" s="60">
        <f>E79*K80</f>
        <v>10245.729887399999</v>
      </c>
      <c r="L79" s="60">
        <f>E79*L80</f>
        <v>10245.729887399999</v>
      </c>
      <c r="M79" s="60">
        <f>E79*M80</f>
        <v>10245.729887399999</v>
      </c>
      <c r="N79" s="60">
        <f>E79*N80</f>
        <v>10245.729887399999</v>
      </c>
      <c r="O79" s="60">
        <f>E79*O80</f>
        <v>3415.2432957999999</v>
      </c>
      <c r="P79" s="61"/>
      <c r="Q79" s="61"/>
      <c r="R79" s="61"/>
      <c r="S79" s="319">
        <f>SUM(G79:R79)</f>
        <v>68304.865915999995</v>
      </c>
      <c r="U79" s="235"/>
      <c r="V79" s="235"/>
      <c r="W79" s="235"/>
      <c r="X79" s="235"/>
      <c r="Y79" s="235"/>
      <c r="Z79" s="235"/>
      <c r="AA79" s="235"/>
      <c r="AB79" s="235"/>
    </row>
    <row r="80" spans="1:28" ht="15.75" thickTop="1">
      <c r="A80" s="556"/>
      <c r="B80" s="62"/>
      <c r="C80" s="638"/>
      <c r="D80" s="639"/>
      <c r="E80" s="53"/>
      <c r="F80" s="56"/>
      <c r="G80" s="48"/>
      <c r="H80" s="48">
        <v>0.05</v>
      </c>
      <c r="I80" s="48">
        <v>0.15</v>
      </c>
      <c r="J80" s="48">
        <v>0.15</v>
      </c>
      <c r="K80" s="48">
        <v>0.15</v>
      </c>
      <c r="L80" s="48">
        <v>0.15</v>
      </c>
      <c r="M80" s="48">
        <v>0.15</v>
      </c>
      <c r="N80" s="48">
        <v>0.15</v>
      </c>
      <c r="O80" s="48">
        <v>0.05</v>
      </c>
      <c r="P80" s="65" t="s">
        <v>1154</v>
      </c>
      <c r="Q80" s="65"/>
      <c r="R80" s="65"/>
      <c r="S80" s="319" t="s">
        <v>1154</v>
      </c>
      <c r="U80" s="235"/>
      <c r="V80" s="235"/>
      <c r="W80" s="235"/>
      <c r="X80" s="235"/>
      <c r="Y80" s="235"/>
      <c r="Z80" s="235"/>
      <c r="AA80" s="235"/>
      <c r="AB80" s="235"/>
    </row>
    <row r="81" spans="1:28" ht="15.75" thickBot="1">
      <c r="A81" s="556"/>
      <c r="B81" s="113" t="str">
        <f>RESUMO!B52</f>
        <v>06.02.000</v>
      </c>
      <c r="C81" s="139" t="str">
        <f>RESUMO!C52</f>
        <v>Telefonia Antena de TV</v>
      </c>
      <c r="D81" s="88"/>
      <c r="E81" s="23">
        <f>RESUMO!D52*1.2026</f>
        <v>71471.540209999992</v>
      </c>
      <c r="F81" s="50">
        <f>E81/E97</f>
        <v>2.40285033860745E-3</v>
      </c>
      <c r="G81" s="48"/>
      <c r="H81" s="48"/>
      <c r="I81" s="48"/>
      <c r="J81" s="48"/>
      <c r="K81" s="48"/>
      <c r="L81" s="48"/>
      <c r="M81" s="60">
        <f>E81*M82</f>
        <v>7147.1540209999994</v>
      </c>
      <c r="N81" s="60">
        <f>E81*N82</f>
        <v>7147.1540209999994</v>
      </c>
      <c r="O81" s="60">
        <f>E81*O82</f>
        <v>10720.731031499998</v>
      </c>
      <c r="P81" s="60">
        <f>E81*P82</f>
        <v>14294.308041999999</v>
      </c>
      <c r="Q81" s="60">
        <f>E81*Q82</f>
        <v>21441.462062999995</v>
      </c>
      <c r="R81" s="60">
        <f>E81*R82</f>
        <v>10720.731031499998</v>
      </c>
      <c r="S81" s="319">
        <f>SUM(G81:R81)</f>
        <v>71471.540209999977</v>
      </c>
      <c r="U81" s="235"/>
      <c r="V81" s="235"/>
      <c r="W81" s="235"/>
      <c r="X81" s="235"/>
      <c r="Y81" s="235"/>
      <c r="Z81" s="235"/>
      <c r="AA81" s="235"/>
      <c r="AB81" s="235"/>
    </row>
    <row r="82" spans="1:28" ht="15.75" thickTop="1">
      <c r="A82" s="556"/>
      <c r="B82" s="23"/>
      <c r="C82" s="54"/>
      <c r="D82" s="86"/>
      <c r="E82" s="23"/>
      <c r="F82" s="47"/>
      <c r="G82" s="48"/>
      <c r="H82" s="48"/>
      <c r="I82" s="48"/>
      <c r="J82" s="48"/>
      <c r="K82" s="48"/>
      <c r="L82" s="48"/>
      <c r="M82" s="48">
        <v>0.1</v>
      </c>
      <c r="N82" s="48">
        <v>0.1</v>
      </c>
      <c r="O82" s="48">
        <v>0.15</v>
      </c>
      <c r="P82" s="48">
        <v>0.2</v>
      </c>
      <c r="Q82" s="48">
        <v>0.3</v>
      </c>
      <c r="R82" s="48">
        <v>0.15</v>
      </c>
      <c r="S82" s="319" t="s">
        <v>1154</v>
      </c>
      <c r="U82" s="235"/>
      <c r="V82" s="235"/>
      <c r="W82" s="235"/>
      <c r="X82" s="235"/>
      <c r="Y82" s="235"/>
      <c r="Z82" s="235"/>
      <c r="AA82" s="235"/>
      <c r="AB82" s="235"/>
    </row>
    <row r="83" spans="1:28" ht="15.75" thickBot="1">
      <c r="A83" s="556"/>
      <c r="B83" s="59" t="str">
        <f>RESUMO!B52</f>
        <v>06.02.000</v>
      </c>
      <c r="C83" s="46" t="str">
        <f>RESUMO!C53</f>
        <v>Detecção e Alarme de Incêndio</v>
      </c>
      <c r="D83" s="102"/>
      <c r="E83" s="49">
        <f>RESUMO!D53*1.2026</f>
        <v>170481.53808</v>
      </c>
      <c r="F83" s="50">
        <f>E83/E97</f>
        <v>5.7315348220875698E-3</v>
      </c>
      <c r="G83" s="61"/>
      <c r="H83" s="61"/>
      <c r="I83" s="61"/>
      <c r="J83" s="61"/>
      <c r="K83" s="61"/>
      <c r="L83" s="61"/>
      <c r="M83" s="61"/>
      <c r="N83" s="61"/>
      <c r="O83" s="52"/>
      <c r="P83" s="52"/>
      <c r="Q83" s="60">
        <f>E83*Q84</f>
        <v>85240.769039999999</v>
      </c>
      <c r="R83" s="60">
        <f>E83*R84</f>
        <v>85240.769039999999</v>
      </c>
      <c r="S83" s="319">
        <f>SUM(G83:R83)</f>
        <v>170481.53808</v>
      </c>
      <c r="U83" s="235"/>
      <c r="V83" s="235"/>
      <c r="W83" s="235"/>
      <c r="X83" s="235"/>
      <c r="Y83" s="235"/>
      <c r="Z83" s="235"/>
      <c r="AA83" s="235"/>
      <c r="AB83" s="235"/>
    </row>
    <row r="84" spans="1:28" ht="15.75" thickTop="1">
      <c r="A84" s="556"/>
      <c r="B84" s="62"/>
      <c r="C84" s="46"/>
      <c r="D84" s="112"/>
      <c r="E84" s="54"/>
      <c r="F84" s="56"/>
      <c r="G84" s="65"/>
      <c r="H84" s="65"/>
      <c r="I84" s="65"/>
      <c r="J84" s="65"/>
      <c r="K84" s="65"/>
      <c r="L84" s="65"/>
      <c r="M84" s="65"/>
      <c r="N84" s="65"/>
      <c r="O84" s="48"/>
      <c r="P84" s="48"/>
      <c r="Q84" s="48">
        <v>0.5</v>
      </c>
      <c r="R84" s="48">
        <v>0.5</v>
      </c>
      <c r="S84" s="319" t="s">
        <v>1154</v>
      </c>
      <c r="U84" s="235"/>
      <c r="V84" s="235"/>
      <c r="W84" s="235"/>
      <c r="X84" s="235"/>
      <c r="Y84" s="235"/>
      <c r="Z84" s="235"/>
      <c r="AA84" s="235"/>
      <c r="AB84" s="235"/>
    </row>
    <row r="85" spans="1:28">
      <c r="A85" s="556"/>
      <c r="B85" s="49" t="str">
        <f>RESUMO!B54</f>
        <v>07.00.000</v>
      </c>
      <c r="C85" s="111" t="str">
        <f>RESUMO!C54</f>
        <v>INSTALAÇÕES MECÂNICAS E DE UTILIDADES</v>
      </c>
      <c r="D85" s="64"/>
      <c r="E85" s="53"/>
      <c r="F85" s="56"/>
      <c r="G85" s="61"/>
      <c r="H85" s="61"/>
      <c r="I85" s="61"/>
      <c r="J85" s="61"/>
      <c r="K85" s="61"/>
      <c r="L85" s="61"/>
      <c r="M85" s="61"/>
      <c r="N85" s="61"/>
      <c r="O85" s="61"/>
      <c r="P85" s="61"/>
      <c r="Q85" s="61"/>
      <c r="R85" s="61"/>
      <c r="S85" s="319" t="s">
        <v>1154</v>
      </c>
      <c r="U85" s="235"/>
      <c r="V85" s="235"/>
      <c r="W85" s="235"/>
      <c r="X85" s="235"/>
      <c r="Y85" s="235"/>
      <c r="Z85" s="235"/>
      <c r="AA85" s="235"/>
      <c r="AB85" s="235"/>
    </row>
    <row r="86" spans="1:28" ht="15.75" thickBot="1">
      <c r="A86" s="556"/>
      <c r="B86" s="113">
        <f>RESUMO!B55</f>
        <v>0</v>
      </c>
      <c r="C86" s="108" t="str">
        <f>RESUMO!C55</f>
        <v>Ar Condicionado</v>
      </c>
      <c r="D86" s="109"/>
      <c r="E86" s="49">
        <f>RESUMO!D55*1.2026</f>
        <v>61913.756449999993</v>
      </c>
      <c r="F86" s="50">
        <f>E86/E97</f>
        <v>2.0815207033907813E-3</v>
      </c>
      <c r="G86" s="61"/>
      <c r="H86" s="61"/>
      <c r="I86" s="61"/>
      <c r="J86" s="61"/>
      <c r="K86" s="61"/>
      <c r="L86" s="61"/>
      <c r="M86" s="61"/>
      <c r="N86" s="61"/>
      <c r="O86" s="61"/>
      <c r="P86" s="61"/>
      <c r="Q86" s="71"/>
      <c r="R86" s="60">
        <f>E86*R87</f>
        <v>61913.756449999993</v>
      </c>
      <c r="S86" s="319">
        <f>SUM(G86:R86)</f>
        <v>61913.756449999993</v>
      </c>
      <c r="U86" s="235"/>
      <c r="V86" s="235"/>
      <c r="W86" s="235"/>
      <c r="X86" s="235"/>
      <c r="Y86" s="235"/>
      <c r="Z86" s="235"/>
      <c r="AA86" s="235"/>
      <c r="AB86" s="235"/>
    </row>
    <row r="87" spans="1:28" ht="15.75" thickTop="1">
      <c r="A87" s="556"/>
      <c r="B87" s="115"/>
      <c r="C87" s="105"/>
      <c r="D87" s="106"/>
      <c r="E87" s="23"/>
      <c r="F87" s="47"/>
      <c r="G87" s="61"/>
      <c r="H87" s="61"/>
      <c r="I87" s="61"/>
      <c r="J87" s="61"/>
      <c r="K87" s="61"/>
      <c r="L87" s="61"/>
      <c r="M87" s="61"/>
      <c r="N87" s="61"/>
      <c r="O87" s="61"/>
      <c r="P87" s="61"/>
      <c r="Q87" s="71"/>
      <c r="R87" s="48">
        <v>1</v>
      </c>
      <c r="S87" s="319"/>
      <c r="U87" s="235"/>
      <c r="V87" s="235"/>
      <c r="W87" s="235"/>
      <c r="X87" s="235"/>
      <c r="Y87" s="235"/>
      <c r="Z87" s="235"/>
      <c r="AA87" s="235"/>
      <c r="AB87" s="235"/>
    </row>
    <row r="88" spans="1:28" ht="15.75" customHeight="1" thickBot="1">
      <c r="A88" s="556"/>
      <c r="B88" s="114" t="str">
        <f>RESUMO!B56</f>
        <v>07.07.000</v>
      </c>
      <c r="C88" s="108" t="str">
        <f>RESUMO!C56</f>
        <v>Gás Combustível</v>
      </c>
      <c r="D88" s="109"/>
      <c r="E88" s="49">
        <f>RESUMO!D56*1.2026</f>
        <v>35951.606739999996</v>
      </c>
      <c r="F88" s="50">
        <f>E88/E97</f>
        <v>1.2086815279881721E-3</v>
      </c>
      <c r="G88" s="61"/>
      <c r="H88" s="61"/>
      <c r="I88" s="61"/>
      <c r="J88" s="61"/>
      <c r="K88" s="61"/>
      <c r="L88" s="61"/>
      <c r="M88" s="61"/>
      <c r="N88" s="61"/>
      <c r="O88" s="52"/>
      <c r="P88" s="61"/>
      <c r="Q88" s="60">
        <f>E88*Q89</f>
        <v>35951.606739999996</v>
      </c>
      <c r="R88" s="52"/>
      <c r="S88" s="319">
        <f>SUM(G88:R88)</f>
        <v>35951.606739999996</v>
      </c>
      <c r="U88" s="235"/>
      <c r="V88" s="235"/>
      <c r="W88" s="235"/>
      <c r="X88" s="235"/>
      <c r="Y88" s="235"/>
      <c r="Z88" s="235"/>
      <c r="AA88" s="235"/>
      <c r="AB88" s="235"/>
    </row>
    <row r="89" spans="1:28" ht="15.75" thickTop="1">
      <c r="A89" s="556"/>
      <c r="B89" s="53"/>
      <c r="C89" s="105"/>
      <c r="D89" s="106"/>
      <c r="E89" s="53"/>
      <c r="F89" s="56"/>
      <c r="G89" s="65"/>
      <c r="H89" s="65"/>
      <c r="I89" s="65"/>
      <c r="J89" s="65"/>
      <c r="K89" s="65"/>
      <c r="L89" s="65"/>
      <c r="M89" s="65"/>
      <c r="N89" s="65"/>
      <c r="O89" s="65"/>
      <c r="P89" s="65"/>
      <c r="Q89" s="48">
        <v>1</v>
      </c>
      <c r="R89" s="65"/>
      <c r="S89" s="319" t="s">
        <v>1154</v>
      </c>
      <c r="U89" s="235"/>
      <c r="V89" s="235"/>
      <c r="W89" s="235"/>
      <c r="X89" s="235"/>
      <c r="Y89" s="235"/>
      <c r="Z89" s="235"/>
      <c r="AA89" s="235"/>
      <c r="AB89" s="235"/>
    </row>
    <row r="90" spans="1:28" ht="15.75" thickBot="1">
      <c r="A90" s="556"/>
      <c r="B90" s="49" t="str">
        <f>[3]RESUMO!B49</f>
        <v>08.00.000</v>
      </c>
      <c r="C90" s="640" t="str">
        <f>[3]RESUMO!C49</f>
        <v>INSTALAÇÕES DE PREVENÇÃO E COMBATE A INCÊNDIO</v>
      </c>
      <c r="D90" s="659"/>
      <c r="E90" s="49">
        <f>RESUMO!D57*1.2026</f>
        <v>610044.60969199985</v>
      </c>
      <c r="F90" s="50">
        <f>E90/E97</f>
        <v>2.0509504799491877E-2</v>
      </c>
      <c r="G90" s="61"/>
      <c r="H90" s="61"/>
      <c r="I90" s="61"/>
      <c r="J90" s="61"/>
      <c r="K90" s="61"/>
      <c r="L90" s="61"/>
      <c r="M90" s="52"/>
      <c r="N90" s="52"/>
      <c r="O90" s="60">
        <f>E90*O91</f>
        <v>122008.92193839997</v>
      </c>
      <c r="P90" s="60">
        <f>E90*P91</f>
        <v>122008.92193839997</v>
      </c>
      <c r="Q90" s="60">
        <f>E90*Q91</f>
        <v>122008.92193839997</v>
      </c>
      <c r="R90" s="60">
        <f>E90*R91</f>
        <v>244017.84387679995</v>
      </c>
      <c r="S90" s="319">
        <f>SUM(G90:R90)</f>
        <v>610044.60969199985</v>
      </c>
      <c r="U90" s="235"/>
      <c r="V90" s="235"/>
      <c r="W90" s="235"/>
      <c r="X90" s="235"/>
      <c r="Y90" s="235"/>
      <c r="Z90" s="235"/>
      <c r="AA90" s="235"/>
      <c r="AB90" s="235"/>
    </row>
    <row r="91" spans="1:28" ht="15.75" customHeight="1" thickTop="1">
      <c r="A91" s="556"/>
      <c r="B91" s="53"/>
      <c r="C91" s="105"/>
      <c r="D91" s="106"/>
      <c r="E91" s="53"/>
      <c r="F91" s="56"/>
      <c r="G91" s="65"/>
      <c r="H91" s="65"/>
      <c r="I91" s="65"/>
      <c r="J91" s="65"/>
      <c r="K91" s="65"/>
      <c r="L91" s="65"/>
      <c r="M91" s="48"/>
      <c r="N91" s="48"/>
      <c r="O91" s="48">
        <v>0.2</v>
      </c>
      <c r="P91" s="48">
        <v>0.2</v>
      </c>
      <c r="Q91" s="48">
        <v>0.2</v>
      </c>
      <c r="R91" s="48">
        <v>0.4</v>
      </c>
      <c r="S91" s="319" t="s">
        <v>1154</v>
      </c>
      <c r="U91" s="235"/>
      <c r="V91" s="235"/>
      <c r="W91" s="235"/>
      <c r="X91" s="235"/>
      <c r="Y91" s="235"/>
      <c r="Z91" s="235"/>
      <c r="AA91" s="235"/>
      <c r="AB91" s="235"/>
    </row>
    <row r="92" spans="1:28" ht="15.75" customHeight="1" thickBot="1">
      <c r="A92" s="556"/>
      <c r="B92" s="49" t="str">
        <f>[4]RESUMO!B50</f>
        <v>09.00.000</v>
      </c>
      <c r="C92" s="648" t="str">
        <f>[4]RESUMO!C50</f>
        <v>SERVIÇOS COMPLEMENTARES</v>
      </c>
      <c r="D92" s="649"/>
      <c r="E92" s="49">
        <f>RESUMO!D58*1.2026</f>
        <v>91869.945201999974</v>
      </c>
      <c r="F92" s="50">
        <f>E92/E97</f>
        <v>3.088638194837547E-3</v>
      </c>
      <c r="G92" s="60">
        <f>E92*G93</f>
        <v>2756.0983560599989</v>
      </c>
      <c r="H92" s="60">
        <f>E92*H93</f>
        <v>2756.0983560599989</v>
      </c>
      <c r="I92" s="60">
        <f>E92*I93</f>
        <v>2756.0983560599989</v>
      </c>
      <c r="J92" s="60">
        <f>E92*J93</f>
        <v>2756.0983560599989</v>
      </c>
      <c r="K92" s="60">
        <f>E92*K93</f>
        <v>2756.0983560599989</v>
      </c>
      <c r="L92" s="60">
        <f>E92*L93</f>
        <v>2756.0983560599989</v>
      </c>
      <c r="M92" s="60">
        <f>E92*M93</f>
        <v>2756.0983560599989</v>
      </c>
      <c r="N92" s="60">
        <f>E92*N93</f>
        <v>2756.0983560599989</v>
      </c>
      <c r="O92" s="60">
        <f>E92*O93</f>
        <v>2756.0983560599989</v>
      </c>
      <c r="P92" s="60">
        <f>E92*P93</f>
        <v>21130.087396459996</v>
      </c>
      <c r="Q92" s="60">
        <f>E92*Q93</f>
        <v>22967.486300499993</v>
      </c>
      <c r="R92" s="60">
        <f>E92*R93</f>
        <v>22967.486300499993</v>
      </c>
      <c r="S92" s="319">
        <f>SUM(G92:R92)</f>
        <v>91869.945201999974</v>
      </c>
      <c r="U92" s="235"/>
      <c r="V92" s="235"/>
      <c r="W92" s="235"/>
      <c r="X92" s="235"/>
      <c r="Y92" s="235"/>
      <c r="Z92" s="235"/>
      <c r="AA92" s="235"/>
      <c r="AB92" s="235"/>
    </row>
    <row r="93" spans="1:28" ht="15.75" customHeight="1" thickTop="1">
      <c r="A93" s="556"/>
      <c r="B93" s="53"/>
      <c r="C93" s="650"/>
      <c r="D93" s="651"/>
      <c r="E93" s="53"/>
      <c r="F93" s="56"/>
      <c r="G93" s="48">
        <v>0.03</v>
      </c>
      <c r="H93" s="48">
        <v>0.03</v>
      </c>
      <c r="I93" s="48">
        <v>0.03</v>
      </c>
      <c r="J93" s="48">
        <v>0.03</v>
      </c>
      <c r="K93" s="48">
        <v>0.03</v>
      </c>
      <c r="L93" s="48">
        <v>0.03</v>
      </c>
      <c r="M93" s="48">
        <v>0.03</v>
      </c>
      <c r="N93" s="48">
        <v>0.03</v>
      </c>
      <c r="O93" s="48">
        <v>0.03</v>
      </c>
      <c r="P93" s="48">
        <v>0.23</v>
      </c>
      <c r="Q93" s="48">
        <v>0.25</v>
      </c>
      <c r="R93" s="48">
        <v>0.25</v>
      </c>
      <c r="S93" s="319" t="s">
        <v>1154</v>
      </c>
      <c r="U93" s="235"/>
      <c r="V93" s="235"/>
      <c r="W93" s="235"/>
      <c r="X93" s="235"/>
      <c r="Y93" s="235"/>
      <c r="Z93" s="235"/>
      <c r="AA93" s="235"/>
      <c r="AB93" s="235"/>
    </row>
    <row r="94" spans="1:28" ht="15.75" thickBot="1">
      <c r="A94" s="556"/>
      <c r="B94" s="23" t="str">
        <f>[4]RESUMO!B51</f>
        <v>10.00.000</v>
      </c>
      <c r="C94" s="640" t="str">
        <f>[4]RESUMO!C51</f>
        <v>SERVIÇOS AUXILIARES E ADMINISTRATIVOS</v>
      </c>
      <c r="D94" s="641"/>
      <c r="E94" s="49">
        <f>RESUMO!D59*1.2026</f>
        <v>1229834.0555479997</v>
      </c>
      <c r="F94" s="50">
        <f>E94/E97</f>
        <v>4.1346627876238475E-2</v>
      </c>
      <c r="G94" s="60">
        <f>E94*G95</f>
        <v>61491.702777399987</v>
      </c>
      <c r="H94" s="60">
        <f>E94*H95</f>
        <v>86088.383888359982</v>
      </c>
      <c r="I94" s="60">
        <f>E94*I95</f>
        <v>86088.383888359982</v>
      </c>
      <c r="J94" s="60">
        <f>E94*J95</f>
        <v>86088.383888359982</v>
      </c>
      <c r="K94" s="60">
        <f>E94*K95</f>
        <v>122983.40555479997</v>
      </c>
      <c r="L94" s="60">
        <f>E94*L95</f>
        <v>122983.40555479997</v>
      </c>
      <c r="M94" s="60">
        <f>E94*M95</f>
        <v>122983.40555479997</v>
      </c>
      <c r="N94" s="60">
        <f>E94*N95</f>
        <v>122983.40555479997</v>
      </c>
      <c r="O94" s="60">
        <f>E94*O95</f>
        <v>122983.40555479997</v>
      </c>
      <c r="P94" s="60">
        <f>E94*P95</f>
        <v>122983.40555479997</v>
      </c>
      <c r="Q94" s="60">
        <f>E94*Q95</f>
        <v>86088.383888359982</v>
      </c>
      <c r="R94" s="60">
        <f>E94*R95</f>
        <v>86088.383888359982</v>
      </c>
      <c r="S94" s="319">
        <f>SUM(G94:R94)</f>
        <v>1229834.0555479995</v>
      </c>
      <c r="U94" s="235"/>
      <c r="V94" s="235"/>
      <c r="W94" s="235"/>
      <c r="X94" s="235"/>
      <c r="Y94" s="235"/>
      <c r="Z94" s="235"/>
      <c r="AA94" s="235"/>
      <c r="AB94" s="235"/>
    </row>
    <row r="95" spans="1:28" ht="15.75" thickTop="1">
      <c r="A95" s="556"/>
      <c r="B95" s="26"/>
      <c r="C95" s="642"/>
      <c r="D95" s="643"/>
      <c r="E95" s="26" t="s">
        <v>1154</v>
      </c>
      <c r="F95" s="72"/>
      <c r="G95" s="73">
        <v>0.05</v>
      </c>
      <c r="H95" s="73">
        <v>7.0000000000000007E-2</v>
      </c>
      <c r="I95" s="73">
        <v>7.0000000000000007E-2</v>
      </c>
      <c r="J95" s="73">
        <v>7.0000000000000007E-2</v>
      </c>
      <c r="K95" s="73">
        <v>0.1</v>
      </c>
      <c r="L95" s="73">
        <v>0.1</v>
      </c>
      <c r="M95" s="73">
        <v>0.1</v>
      </c>
      <c r="N95" s="73">
        <v>0.1</v>
      </c>
      <c r="O95" s="73">
        <v>0.1</v>
      </c>
      <c r="P95" s="73">
        <v>0.1</v>
      </c>
      <c r="Q95" s="73">
        <v>7.0000000000000007E-2</v>
      </c>
      <c r="R95" s="48">
        <v>7.0000000000000007E-2</v>
      </c>
      <c r="S95" s="320"/>
      <c r="U95" s="235"/>
      <c r="V95" s="235"/>
      <c r="W95" s="235"/>
      <c r="X95" s="235"/>
      <c r="Y95" s="235"/>
      <c r="Z95" s="235"/>
      <c r="AA95" s="235"/>
      <c r="AB95" s="235"/>
    </row>
    <row r="96" spans="1:28">
      <c r="A96" s="556"/>
      <c r="B96" s="644" t="s">
        <v>2785</v>
      </c>
      <c r="C96" s="645"/>
      <c r="D96" s="646"/>
      <c r="E96" s="74"/>
      <c r="F96" s="75"/>
      <c r="G96" s="76">
        <f>SUM(G94+G92+G22+G19+G17)</f>
        <v>1365296.7772042202</v>
      </c>
      <c r="H96" s="76">
        <f>SUM(H94+H92+H79+H26+H24+H22+H19)</f>
        <v>1963504.6633886597</v>
      </c>
      <c r="I96" s="76">
        <f>SUM(I94+I92+I79+I26+I24)</f>
        <v>1564483.9287144197</v>
      </c>
      <c r="J96" s="76">
        <f>SUM(J94+J92+J79+J28+J26+J24)</f>
        <v>2747248.1450999198</v>
      </c>
      <c r="K96" s="76">
        <f>SUM(K94+K92+K79+K72+K66+K31+K28+K26)</f>
        <v>2883299.0520423595</v>
      </c>
      <c r="L96" s="76">
        <f>SUM(L94+L92+L79+L72+L66+L53+L51+L41+L33+L31+L28+L26)</f>
        <v>3324770.6173841599</v>
      </c>
      <c r="M96" s="76">
        <f>SUM(M94+M92+M81+M79+M75+M72+M66+M55+M53+M51+M43+M41+M33+M31+M28)</f>
        <v>2878105.3509521596</v>
      </c>
      <c r="N96" s="76">
        <f>SUM(N94+N92+N81+N79+N75+N72+N70+N66+N55+N53+N51+N47+N43+N41+N39+N33+N31+N28)</f>
        <v>3097608.7001235597</v>
      </c>
      <c r="O96" s="76">
        <f>SUM(O94+O92+O90+O81+O79+O75+O72+O70+O66+O55+O53+O51+O47+O45+O43+O41+O39+O37+O33+O31)</f>
        <v>2778655.7240118599</v>
      </c>
      <c r="P96" s="76">
        <f>SUM(P94+P92+P90+P81+P75+P72+P70+P68+P66+P55+P53+P51+P49+P47+P45+P43+P41+P37+P33+P31)</f>
        <v>2749831.0585933602</v>
      </c>
      <c r="Q96" s="76">
        <f>SUM(Q94+Q92+Q90+Q88+Q83+Q81+Q77+Q75+Q72+Q70+Q68+Q66+Q61+Q53+Q47+Q45+Q43+Q41+Q37+Q35+Q33)</f>
        <v>2354200.3780363598</v>
      </c>
      <c r="R96" s="76">
        <f>SUM(R94+R92+R90+R86+R83+R81+R77+R75+R72+R70+R68+R63+R61+R59+R57+R53+R47+R45+R43+R37+R35)</f>
        <v>2037478.2555909597</v>
      </c>
      <c r="S96" s="320"/>
      <c r="U96" s="235"/>
      <c r="V96" s="235"/>
      <c r="W96" s="235"/>
      <c r="X96" s="235"/>
      <c r="Y96" s="235"/>
      <c r="Z96" s="235"/>
      <c r="AA96" s="235"/>
      <c r="AB96" s="235"/>
    </row>
    <row r="97" spans="1:28">
      <c r="A97" s="556"/>
      <c r="B97" s="644" t="s">
        <v>2786</v>
      </c>
      <c r="C97" s="645"/>
      <c r="D97" s="646"/>
      <c r="E97" s="77">
        <f>SUM(E17:E96)</f>
        <v>29744482.651142005</v>
      </c>
      <c r="F97" s="78" t="s">
        <v>1220</v>
      </c>
      <c r="G97" s="52">
        <f>G96</f>
        <v>1365296.7772042202</v>
      </c>
      <c r="H97" s="52">
        <f>G97+H96</f>
        <v>3328801.4405928799</v>
      </c>
      <c r="I97" s="52">
        <f t="shared" ref="I97:R97" si="0">H97+I96</f>
        <v>4893285.3693073001</v>
      </c>
      <c r="J97" s="52">
        <f t="shared" si="0"/>
        <v>7640533.5144072194</v>
      </c>
      <c r="K97" s="52">
        <f t="shared" si="0"/>
        <v>10523832.566449579</v>
      </c>
      <c r="L97" s="52">
        <f t="shared" si="0"/>
        <v>13848603.183833739</v>
      </c>
      <c r="M97" s="52">
        <f t="shared" si="0"/>
        <v>16726708.534785898</v>
      </c>
      <c r="N97" s="52">
        <f t="shared" si="0"/>
        <v>19824317.23490946</v>
      </c>
      <c r="O97" s="52">
        <f t="shared" si="0"/>
        <v>22602972.958921321</v>
      </c>
      <c r="P97" s="52">
        <f t="shared" si="0"/>
        <v>25352804.01751468</v>
      </c>
      <c r="Q97" s="52">
        <f t="shared" si="0"/>
        <v>27707004.395551041</v>
      </c>
      <c r="R97" s="52">
        <f t="shared" si="0"/>
        <v>29744482.651142001</v>
      </c>
      <c r="S97" s="319">
        <f>SUM(S17:S94)</f>
        <v>29744482.651141997</v>
      </c>
      <c r="U97" s="235"/>
      <c r="V97" s="235"/>
      <c r="W97" s="235"/>
      <c r="X97" s="235"/>
      <c r="Y97" s="235"/>
      <c r="Z97" s="235"/>
      <c r="AA97" s="235"/>
      <c r="AB97" s="235"/>
    </row>
    <row r="98" spans="1:28">
      <c r="A98" s="556"/>
      <c r="B98" s="644" t="s">
        <v>2787</v>
      </c>
      <c r="C98" s="645"/>
      <c r="D98" s="646"/>
      <c r="E98" s="74" t="s">
        <v>1220</v>
      </c>
      <c r="F98" s="78" t="s">
        <v>1220</v>
      </c>
      <c r="G98" s="79">
        <f>G96/E97</f>
        <v>4.5900841282637043E-2</v>
      </c>
      <c r="H98" s="79">
        <f>H96/E97</f>
        <v>6.6012399220978665E-2</v>
      </c>
      <c r="I98" s="79">
        <f>I96/E97</f>
        <v>5.2597449653552918E-2</v>
      </c>
      <c r="J98" s="79">
        <f>J96/E97</f>
        <v>9.2361604581293416E-2</v>
      </c>
      <c r="K98" s="79">
        <f>K96/E97</f>
        <v>9.6935592589022845E-2</v>
      </c>
      <c r="L98" s="79">
        <f>L96/E97</f>
        <v>0.11177772551564312</v>
      </c>
      <c r="M98" s="79">
        <f>M96/E97</f>
        <v>9.6760982018346112E-2</v>
      </c>
      <c r="N98" s="79">
        <f>N96/E97</f>
        <v>0.10414061446130517</v>
      </c>
      <c r="O98" s="79">
        <f>O96/E97</f>
        <v>9.3417517346033804E-2</v>
      </c>
      <c r="P98" s="79">
        <f>P96/E97</f>
        <v>9.2448441307409451E-2</v>
      </c>
      <c r="Q98" s="79">
        <f>Q96/E97</f>
        <v>7.9147464275899013E-2</v>
      </c>
      <c r="R98" s="79">
        <f>R96/E97</f>
        <v>6.8499367747878209E-2</v>
      </c>
      <c r="S98" s="320"/>
      <c r="U98" s="235"/>
      <c r="V98" s="235"/>
      <c r="W98" s="235"/>
      <c r="X98" s="235"/>
      <c r="Y98" s="235"/>
      <c r="Z98" s="235"/>
      <c r="AA98" s="235"/>
      <c r="AB98" s="235"/>
    </row>
    <row r="99" spans="1:28">
      <c r="A99" s="556"/>
      <c r="B99" s="647" t="s">
        <v>2788</v>
      </c>
      <c r="C99" s="645"/>
      <c r="D99" s="646"/>
      <c r="E99" s="80" t="s">
        <v>1220</v>
      </c>
      <c r="F99" s="75">
        <f>SUM(F17:F94)</f>
        <v>0.99999999999999944</v>
      </c>
      <c r="G99" s="81">
        <f>G98</f>
        <v>4.5900841282637043E-2</v>
      </c>
      <c r="H99" s="81">
        <f>G99+H98</f>
        <v>0.1119132405036157</v>
      </c>
      <c r="I99" s="81">
        <f t="shared" ref="I99:R99" si="1">H99+I98</f>
        <v>0.16451069015716863</v>
      </c>
      <c r="J99" s="81">
        <f t="shared" si="1"/>
        <v>0.25687229473846207</v>
      </c>
      <c r="K99" s="81">
        <f t="shared" si="1"/>
        <v>0.35380788732748492</v>
      </c>
      <c r="L99" s="81">
        <f t="shared" si="1"/>
        <v>0.46558561284312805</v>
      </c>
      <c r="M99" s="81">
        <f t="shared" si="1"/>
        <v>0.5623465948614742</v>
      </c>
      <c r="N99" s="81">
        <f t="shared" si="1"/>
        <v>0.66648720932277938</v>
      </c>
      <c r="O99" s="81">
        <f t="shared" si="1"/>
        <v>0.75990472666881315</v>
      </c>
      <c r="P99" s="81">
        <f t="shared" si="1"/>
        <v>0.85235316797622263</v>
      </c>
      <c r="Q99" s="81">
        <f t="shared" si="1"/>
        <v>0.93150063225212165</v>
      </c>
      <c r="R99" s="81">
        <f t="shared" si="1"/>
        <v>0.99999999999999989</v>
      </c>
      <c r="S99" s="321"/>
      <c r="U99" s="235"/>
      <c r="V99" s="235"/>
      <c r="W99" s="235"/>
      <c r="X99" s="235"/>
      <c r="Y99" s="235"/>
      <c r="Z99" s="235"/>
      <c r="AA99" s="235"/>
      <c r="AB99" s="235"/>
    </row>
    <row r="100" spans="1:28" s="235" customFormat="1">
      <c r="B100" s="275"/>
      <c r="C100" s="276"/>
      <c r="D100" s="277"/>
      <c r="E100" s="277"/>
      <c r="F100" s="277"/>
      <c r="U100"/>
      <c r="AB100"/>
    </row>
    <row r="101" spans="1:28" s="235" customFormat="1"/>
    <row r="102" spans="1:28" s="235" customFormat="1"/>
    <row r="103" spans="1:28" s="235" customFormat="1">
      <c r="V103"/>
      <c r="W103"/>
      <c r="X103"/>
      <c r="Y103"/>
      <c r="Z103"/>
      <c r="AA103"/>
    </row>
    <row r="104" spans="1:28" s="235" customFormat="1"/>
    <row r="105" spans="1:28" s="235" customFormat="1"/>
    <row r="106" spans="1:28" s="235" customFormat="1"/>
    <row r="107" spans="1:28" s="235" customFormat="1"/>
    <row r="108" spans="1:28" s="235" customFormat="1"/>
    <row r="109" spans="1:28" s="235" customFormat="1"/>
    <row r="110" spans="1:28" s="235" customFormat="1"/>
    <row r="111" spans="1:28" s="235" customFormat="1"/>
    <row r="112" spans="1:28" s="235" customFormat="1"/>
    <row r="113" s="235" customFormat="1"/>
    <row r="114" s="235" customFormat="1"/>
    <row r="115" s="235" customFormat="1"/>
    <row r="116" s="235" customFormat="1"/>
    <row r="117" s="235" customFormat="1"/>
    <row r="118" s="235" customFormat="1"/>
    <row r="119" s="235" customFormat="1"/>
    <row r="120" s="235" customFormat="1"/>
    <row r="121" s="235" customFormat="1"/>
    <row r="122" s="235" customFormat="1"/>
    <row r="123" s="235" customFormat="1"/>
    <row r="124" s="235" customFormat="1"/>
    <row r="125" s="235" customFormat="1"/>
    <row r="126" s="235" customFormat="1"/>
    <row r="127" s="235" customFormat="1"/>
    <row r="128" s="235" customFormat="1"/>
    <row r="129" spans="21:28" s="235" customFormat="1"/>
    <row r="130" spans="21:28" s="235" customFormat="1"/>
    <row r="131" spans="21:28" s="235" customFormat="1"/>
    <row r="132" spans="21:28" s="235" customFormat="1"/>
    <row r="133" spans="21:28" s="235" customFormat="1"/>
    <row r="134" spans="21:28" s="235" customFormat="1"/>
    <row r="135" spans="21:28" s="235" customFormat="1"/>
    <row r="136" spans="21:28" s="235" customFormat="1"/>
    <row r="137" spans="21:28" s="235" customFormat="1"/>
    <row r="138" spans="21:28" s="235" customFormat="1">
      <c r="U138"/>
      <c r="AB138"/>
    </row>
    <row r="139" spans="21:28" s="235" customFormat="1">
      <c r="U139"/>
      <c r="AB139"/>
    </row>
    <row r="140" spans="21:28" s="235" customFormat="1">
      <c r="U140"/>
      <c r="AB140"/>
    </row>
    <row r="141" spans="21:28" s="235" customFormat="1">
      <c r="U141"/>
      <c r="V141"/>
      <c r="W141"/>
      <c r="X141"/>
      <c r="Y141"/>
      <c r="Z141"/>
      <c r="AA141"/>
      <c r="AB141"/>
    </row>
    <row r="142" spans="21:28" s="235" customFormat="1">
      <c r="U142"/>
      <c r="V142"/>
      <c r="W142"/>
      <c r="X142"/>
      <c r="Y142"/>
      <c r="Z142"/>
      <c r="AA142"/>
      <c r="AB142"/>
    </row>
    <row r="143" spans="21:28" s="235" customFormat="1">
      <c r="U143"/>
      <c r="V143"/>
      <c r="W143"/>
      <c r="X143"/>
      <c r="Y143"/>
      <c r="Z143"/>
      <c r="AA143"/>
      <c r="AB143"/>
    </row>
    <row r="144" spans="21:28" s="235" customFormat="1">
      <c r="U144"/>
      <c r="V144"/>
      <c r="W144"/>
      <c r="X144"/>
      <c r="Y144"/>
      <c r="Z144"/>
      <c r="AA144"/>
      <c r="AB144"/>
    </row>
    <row r="145" spans="21:28" s="235" customFormat="1">
      <c r="U145"/>
      <c r="V145"/>
      <c r="W145"/>
      <c r="X145"/>
      <c r="Y145"/>
      <c r="Z145"/>
      <c r="AA145"/>
      <c r="AB145"/>
    </row>
    <row r="146" spans="21:28" s="235" customFormat="1">
      <c r="U146"/>
      <c r="V146"/>
      <c r="W146"/>
      <c r="X146"/>
      <c r="Y146"/>
      <c r="Z146"/>
      <c r="AA146"/>
      <c r="AB146"/>
    </row>
    <row r="147" spans="21:28" s="235" customFormat="1">
      <c r="U147"/>
      <c r="V147"/>
      <c r="W147"/>
      <c r="X147"/>
      <c r="Y147"/>
      <c r="Z147"/>
      <c r="AA147"/>
      <c r="AB147"/>
    </row>
    <row r="148" spans="21:28" s="235" customFormat="1">
      <c r="U148"/>
      <c r="V148"/>
      <c r="W148"/>
      <c r="X148"/>
      <c r="Y148"/>
      <c r="Z148"/>
      <c r="AA148"/>
      <c r="AB148"/>
    </row>
    <row r="149" spans="21:28" s="235" customFormat="1">
      <c r="U149"/>
      <c r="V149"/>
      <c r="W149"/>
      <c r="X149"/>
      <c r="Y149"/>
      <c r="Z149"/>
      <c r="AA149"/>
      <c r="AB149"/>
    </row>
    <row r="150" spans="21:28" s="235" customFormat="1">
      <c r="U150"/>
      <c r="V150"/>
      <c r="W150"/>
      <c r="X150"/>
      <c r="Y150"/>
      <c r="Z150"/>
      <c r="AA150"/>
      <c r="AB150"/>
    </row>
    <row r="151" spans="21:28" s="235" customFormat="1">
      <c r="U151"/>
      <c r="V151"/>
      <c r="W151"/>
      <c r="X151"/>
      <c r="Y151"/>
      <c r="Z151"/>
      <c r="AA151"/>
      <c r="AB151"/>
    </row>
    <row r="152" spans="21:28" s="235" customFormat="1">
      <c r="U152"/>
      <c r="V152"/>
      <c r="W152"/>
      <c r="X152"/>
      <c r="Y152"/>
      <c r="Z152"/>
      <c r="AA152"/>
      <c r="AB152"/>
    </row>
    <row r="153" spans="21:28" s="235" customFormat="1">
      <c r="U153"/>
      <c r="V153"/>
      <c r="W153"/>
      <c r="X153"/>
      <c r="Y153"/>
      <c r="Z153"/>
      <c r="AA153"/>
      <c r="AB153"/>
    </row>
    <row r="154" spans="21:28" s="235" customFormat="1">
      <c r="U154"/>
      <c r="V154"/>
      <c r="W154"/>
      <c r="X154"/>
      <c r="Y154"/>
      <c r="Z154"/>
      <c r="AA154"/>
      <c r="AB154"/>
    </row>
    <row r="155" spans="21:28" s="235" customFormat="1">
      <c r="U155"/>
      <c r="V155"/>
      <c r="W155"/>
      <c r="X155"/>
      <c r="Y155"/>
      <c r="Z155"/>
      <c r="AA155"/>
      <c r="AB155"/>
    </row>
    <row r="156" spans="21:28" s="235" customFormat="1">
      <c r="U156"/>
      <c r="V156"/>
      <c r="W156"/>
      <c r="X156"/>
      <c r="Y156"/>
      <c r="Z156"/>
      <c r="AA156"/>
      <c r="AB156"/>
    </row>
    <row r="157" spans="21:28" s="235" customFormat="1">
      <c r="U157"/>
      <c r="V157"/>
      <c r="W157"/>
      <c r="X157"/>
      <c r="Y157"/>
      <c r="Z157"/>
      <c r="AA157"/>
      <c r="AB157"/>
    </row>
    <row r="158" spans="21:28" s="235" customFormat="1">
      <c r="U158"/>
      <c r="V158"/>
      <c r="W158"/>
      <c r="X158"/>
      <c r="Y158"/>
      <c r="Z158"/>
      <c r="AA158"/>
      <c r="AB158"/>
    </row>
    <row r="159" spans="21:28" s="235" customFormat="1">
      <c r="U159"/>
      <c r="V159"/>
      <c r="W159"/>
      <c r="X159"/>
      <c r="Y159"/>
      <c r="Z159"/>
      <c r="AA159"/>
      <c r="AB159"/>
    </row>
    <row r="160" spans="21:28" s="235" customFormat="1">
      <c r="U160"/>
      <c r="V160"/>
      <c r="W160"/>
      <c r="X160"/>
      <c r="Y160"/>
      <c r="Z160"/>
      <c r="AA160"/>
      <c r="AB160"/>
    </row>
    <row r="161" spans="21:28" s="235" customFormat="1">
      <c r="U161"/>
      <c r="V161"/>
      <c r="W161"/>
      <c r="X161"/>
      <c r="Y161"/>
      <c r="Z161"/>
      <c r="AA161"/>
      <c r="AB161"/>
    </row>
    <row r="162" spans="21:28" s="235" customFormat="1">
      <c r="U162"/>
      <c r="V162"/>
      <c r="W162"/>
      <c r="X162"/>
      <c r="Y162"/>
      <c r="Z162"/>
      <c r="AA162"/>
      <c r="AB162"/>
    </row>
    <row r="163" spans="21:28" s="235" customFormat="1">
      <c r="U163"/>
      <c r="V163"/>
      <c r="W163"/>
      <c r="X163"/>
      <c r="Y163"/>
      <c r="Z163"/>
      <c r="AA163"/>
      <c r="AB163"/>
    </row>
    <row r="164" spans="21:28" s="235" customFormat="1">
      <c r="U164"/>
      <c r="V164"/>
      <c r="W164"/>
      <c r="X164"/>
      <c r="Y164"/>
      <c r="Z164"/>
      <c r="AA164"/>
      <c r="AB164"/>
    </row>
    <row r="165" spans="21:28" s="235" customFormat="1">
      <c r="U165"/>
      <c r="V165"/>
      <c r="W165"/>
      <c r="X165"/>
      <c r="Y165"/>
      <c r="Z165"/>
      <c r="AA165"/>
      <c r="AB165"/>
    </row>
    <row r="166" spans="21:28" s="235" customFormat="1">
      <c r="U166"/>
      <c r="V166"/>
      <c r="W166"/>
      <c r="X166"/>
      <c r="Y166"/>
      <c r="Z166"/>
      <c r="AA166"/>
      <c r="AB166"/>
    </row>
    <row r="167" spans="21:28" s="235" customFormat="1">
      <c r="U167"/>
      <c r="V167"/>
      <c r="W167"/>
      <c r="X167"/>
      <c r="Y167"/>
      <c r="Z167"/>
      <c r="AA167"/>
      <c r="AB167"/>
    </row>
    <row r="168" spans="21:28" s="235" customFormat="1">
      <c r="U168"/>
      <c r="V168"/>
      <c r="W168"/>
      <c r="X168"/>
      <c r="Y168"/>
      <c r="Z168"/>
      <c r="AA168"/>
      <c r="AB168"/>
    </row>
    <row r="169" spans="21:28" s="235" customFormat="1">
      <c r="U169"/>
      <c r="V169"/>
      <c r="W169"/>
      <c r="X169"/>
      <c r="Y169"/>
      <c r="Z169"/>
      <c r="AA169"/>
      <c r="AB169"/>
    </row>
    <row r="170" spans="21:28" s="235" customFormat="1">
      <c r="U170"/>
      <c r="V170"/>
      <c r="W170"/>
      <c r="X170"/>
      <c r="Y170"/>
      <c r="Z170"/>
      <c r="AA170"/>
      <c r="AB170"/>
    </row>
    <row r="171" spans="21:28" s="235" customFormat="1">
      <c r="U171"/>
      <c r="V171"/>
      <c r="W171"/>
      <c r="X171"/>
      <c r="Y171"/>
      <c r="Z171"/>
      <c r="AA171"/>
      <c r="AB171"/>
    </row>
    <row r="172" spans="21:28" s="235" customFormat="1">
      <c r="U172"/>
      <c r="V172"/>
      <c r="W172"/>
      <c r="X172"/>
      <c r="Y172"/>
      <c r="Z172"/>
      <c r="AA172"/>
      <c r="AB172"/>
    </row>
    <row r="173" spans="21:28" s="235" customFormat="1">
      <c r="U173"/>
      <c r="V173"/>
      <c r="W173"/>
      <c r="X173"/>
      <c r="Y173"/>
      <c r="Z173"/>
      <c r="AA173"/>
      <c r="AB173"/>
    </row>
    <row r="174" spans="21:28" s="235" customFormat="1">
      <c r="U174"/>
      <c r="V174"/>
      <c r="W174"/>
      <c r="X174"/>
      <c r="Y174"/>
      <c r="Z174"/>
      <c r="AA174"/>
      <c r="AB174"/>
    </row>
    <row r="175" spans="21:28" s="235" customFormat="1">
      <c r="U175"/>
      <c r="V175"/>
      <c r="W175"/>
      <c r="X175"/>
      <c r="Y175"/>
      <c r="Z175"/>
      <c r="AA175"/>
      <c r="AB175"/>
    </row>
    <row r="176" spans="21:28" s="235" customFormat="1">
      <c r="U176"/>
      <c r="V176"/>
      <c r="W176"/>
      <c r="X176"/>
      <c r="Y176"/>
      <c r="Z176"/>
      <c r="AA176"/>
      <c r="AB176"/>
    </row>
    <row r="177" spans="21:28" s="235" customFormat="1">
      <c r="U177"/>
      <c r="V177"/>
      <c r="W177"/>
      <c r="X177"/>
      <c r="Y177"/>
      <c r="Z177"/>
      <c r="AA177"/>
      <c r="AB177"/>
    </row>
    <row r="178" spans="21:28" s="235" customFormat="1">
      <c r="U178"/>
      <c r="V178"/>
      <c r="W178"/>
      <c r="X178"/>
      <c r="Y178"/>
      <c r="Z178"/>
      <c r="AA178"/>
      <c r="AB178"/>
    </row>
    <row r="179" spans="21:28" s="235" customFormat="1">
      <c r="U179"/>
      <c r="V179"/>
      <c r="W179"/>
      <c r="X179"/>
      <c r="Y179"/>
      <c r="Z179"/>
      <c r="AA179"/>
      <c r="AB179"/>
    </row>
    <row r="180" spans="21:28" s="235" customFormat="1">
      <c r="U180"/>
      <c r="V180"/>
      <c r="W180"/>
      <c r="X180"/>
      <c r="Y180"/>
      <c r="Z180"/>
      <c r="AA180"/>
      <c r="AB180"/>
    </row>
    <row r="181" spans="21:28" s="235" customFormat="1">
      <c r="U181"/>
      <c r="V181"/>
      <c r="W181"/>
      <c r="X181"/>
      <c r="Y181"/>
      <c r="Z181"/>
      <c r="AA181"/>
      <c r="AB181"/>
    </row>
    <row r="182" spans="21:28" s="235" customFormat="1">
      <c r="U182"/>
      <c r="V182"/>
      <c r="W182"/>
      <c r="X182"/>
      <c r="Y182"/>
      <c r="Z182"/>
      <c r="AA182"/>
      <c r="AB182"/>
    </row>
    <row r="183" spans="21:28" s="235" customFormat="1">
      <c r="U183"/>
      <c r="V183"/>
      <c r="W183"/>
      <c r="X183"/>
      <c r="Y183"/>
      <c r="Z183"/>
      <c r="AA183"/>
      <c r="AB183"/>
    </row>
    <row r="184" spans="21:28" s="235" customFormat="1">
      <c r="U184"/>
      <c r="V184"/>
      <c r="W184"/>
      <c r="X184"/>
      <c r="Y184"/>
      <c r="Z184"/>
      <c r="AA184"/>
      <c r="AB184"/>
    </row>
    <row r="185" spans="21:28" s="235" customFormat="1">
      <c r="U185"/>
      <c r="V185"/>
      <c r="W185"/>
      <c r="X185"/>
      <c r="Y185"/>
      <c r="Z185"/>
      <c r="AA185"/>
      <c r="AB185"/>
    </row>
    <row r="186" spans="21:28" s="235" customFormat="1">
      <c r="U186"/>
      <c r="V186"/>
      <c r="W186"/>
      <c r="X186"/>
      <c r="Y186"/>
      <c r="Z186"/>
      <c r="AA186"/>
      <c r="AB186"/>
    </row>
    <row r="187" spans="21:28" s="235" customFormat="1">
      <c r="U187"/>
      <c r="V187"/>
      <c r="W187"/>
      <c r="X187"/>
      <c r="Y187"/>
      <c r="Z187"/>
      <c r="AA187"/>
      <c r="AB187"/>
    </row>
    <row r="188" spans="21:28" s="235" customFormat="1">
      <c r="U188"/>
      <c r="V188"/>
      <c r="W188"/>
      <c r="X188"/>
      <c r="Y188"/>
      <c r="Z188"/>
      <c r="AA188"/>
      <c r="AB188"/>
    </row>
    <row r="189" spans="21:28" s="235" customFormat="1">
      <c r="U189"/>
      <c r="V189"/>
      <c r="W189"/>
      <c r="X189"/>
      <c r="Y189"/>
      <c r="Z189"/>
      <c r="AA189"/>
      <c r="AB189"/>
    </row>
    <row r="190" spans="21:28" s="235" customFormat="1">
      <c r="U190"/>
      <c r="V190"/>
      <c r="W190"/>
      <c r="X190"/>
      <c r="Y190"/>
      <c r="Z190"/>
      <c r="AA190"/>
      <c r="AB190"/>
    </row>
    <row r="191" spans="21:28" s="235" customFormat="1">
      <c r="U191"/>
      <c r="V191"/>
      <c r="W191"/>
      <c r="X191"/>
      <c r="Y191"/>
      <c r="Z191"/>
      <c r="AA191"/>
      <c r="AB191"/>
    </row>
    <row r="192" spans="21:28" s="235" customFormat="1">
      <c r="U192"/>
      <c r="V192"/>
      <c r="W192"/>
      <c r="X192"/>
      <c r="Y192"/>
      <c r="Z192"/>
      <c r="AA192"/>
      <c r="AB192"/>
    </row>
    <row r="193" spans="21:28" s="235" customFormat="1">
      <c r="U193"/>
      <c r="V193"/>
      <c r="W193"/>
      <c r="X193"/>
      <c r="Y193"/>
      <c r="Z193"/>
      <c r="AA193"/>
      <c r="AB193"/>
    </row>
    <row r="194" spans="21:28" s="235" customFormat="1">
      <c r="U194"/>
      <c r="V194"/>
      <c r="W194"/>
      <c r="X194"/>
      <c r="Y194"/>
      <c r="Z194"/>
      <c r="AA194"/>
      <c r="AB194"/>
    </row>
    <row r="195" spans="21:28" s="235" customFormat="1">
      <c r="U195"/>
      <c r="V195"/>
      <c r="W195"/>
      <c r="X195"/>
      <c r="Y195"/>
      <c r="Z195"/>
      <c r="AA195"/>
      <c r="AB195"/>
    </row>
    <row r="196" spans="21:28" s="235" customFormat="1">
      <c r="U196"/>
      <c r="V196"/>
      <c r="W196"/>
      <c r="X196"/>
      <c r="Y196"/>
      <c r="Z196"/>
      <c r="AA196"/>
      <c r="AB196"/>
    </row>
    <row r="197" spans="21:28" s="235" customFormat="1">
      <c r="U197"/>
      <c r="V197"/>
      <c r="W197"/>
      <c r="X197"/>
      <c r="Y197"/>
      <c r="Z197"/>
      <c r="AA197"/>
      <c r="AB197"/>
    </row>
    <row r="198" spans="21:28" s="235" customFormat="1">
      <c r="U198"/>
      <c r="V198"/>
      <c r="W198"/>
      <c r="X198"/>
      <c r="Y198"/>
      <c r="Z198"/>
      <c r="AA198"/>
      <c r="AB198"/>
    </row>
    <row r="199" spans="21:28" s="235" customFormat="1">
      <c r="U199"/>
      <c r="V199"/>
      <c r="W199"/>
      <c r="X199"/>
      <c r="Y199"/>
      <c r="Z199"/>
      <c r="AA199"/>
      <c r="AB199"/>
    </row>
    <row r="200" spans="21:28" s="235" customFormat="1">
      <c r="U200"/>
      <c r="V200"/>
      <c r="W200"/>
      <c r="X200"/>
      <c r="Y200"/>
      <c r="Z200"/>
      <c r="AA200"/>
      <c r="AB200"/>
    </row>
    <row r="201" spans="21:28" s="235" customFormat="1">
      <c r="U201"/>
      <c r="V201"/>
      <c r="W201"/>
      <c r="X201"/>
      <c r="Y201"/>
      <c r="Z201"/>
      <c r="AA201"/>
      <c r="AB201"/>
    </row>
    <row r="202" spans="21:28" s="235" customFormat="1">
      <c r="U202"/>
      <c r="V202"/>
      <c r="W202"/>
      <c r="X202"/>
      <c r="Y202"/>
      <c r="Z202"/>
      <c r="AA202"/>
      <c r="AB202"/>
    </row>
    <row r="203" spans="21:28" s="235" customFormat="1">
      <c r="U203"/>
      <c r="V203"/>
      <c r="W203"/>
      <c r="X203"/>
      <c r="Y203"/>
      <c r="Z203"/>
      <c r="AA203"/>
      <c r="AB203"/>
    </row>
    <row r="204" spans="21:28" s="235" customFormat="1">
      <c r="U204"/>
      <c r="V204"/>
      <c r="W204"/>
      <c r="X204"/>
      <c r="Y204"/>
      <c r="Z204"/>
      <c r="AA204"/>
      <c r="AB204"/>
    </row>
    <row r="205" spans="21:28" s="235" customFormat="1">
      <c r="U205"/>
      <c r="V205"/>
      <c r="W205"/>
      <c r="X205"/>
      <c r="Y205"/>
      <c r="Z205"/>
      <c r="AA205"/>
      <c r="AB205"/>
    </row>
    <row r="206" spans="21:28" s="235" customFormat="1">
      <c r="U206"/>
      <c r="V206"/>
      <c r="W206"/>
      <c r="X206"/>
      <c r="Y206"/>
      <c r="Z206"/>
      <c r="AA206"/>
      <c r="AB206"/>
    </row>
    <row r="207" spans="21:28" s="235" customFormat="1">
      <c r="U207"/>
      <c r="V207"/>
      <c r="W207"/>
      <c r="X207"/>
      <c r="Y207"/>
      <c r="Z207"/>
      <c r="AA207"/>
      <c r="AB207"/>
    </row>
    <row r="208" spans="21:28" s="235" customFormat="1">
      <c r="U208"/>
      <c r="V208"/>
      <c r="W208"/>
      <c r="X208"/>
      <c r="Y208"/>
      <c r="Z208"/>
      <c r="AA208"/>
      <c r="AB208"/>
    </row>
    <row r="209" spans="21:28" s="235" customFormat="1">
      <c r="U209"/>
      <c r="V209"/>
      <c r="W209"/>
      <c r="X209"/>
      <c r="Y209"/>
      <c r="Z209"/>
      <c r="AA209"/>
      <c r="AB209"/>
    </row>
    <row r="210" spans="21:28" s="235" customFormat="1">
      <c r="U210"/>
      <c r="V210"/>
      <c r="W210"/>
      <c r="X210"/>
      <c r="Y210"/>
      <c r="Z210"/>
      <c r="AA210"/>
      <c r="AB210"/>
    </row>
    <row r="211" spans="21:28" s="235" customFormat="1">
      <c r="U211"/>
      <c r="V211"/>
      <c r="W211"/>
      <c r="X211"/>
      <c r="Y211"/>
      <c r="Z211"/>
      <c r="AA211"/>
      <c r="AB211"/>
    </row>
    <row r="212" spans="21:28" s="235" customFormat="1">
      <c r="U212"/>
      <c r="V212"/>
      <c r="W212"/>
      <c r="X212"/>
      <c r="Y212"/>
      <c r="Z212"/>
      <c r="AA212"/>
      <c r="AB212"/>
    </row>
    <row r="213" spans="21:28" s="235" customFormat="1">
      <c r="U213"/>
      <c r="V213"/>
      <c r="W213"/>
      <c r="X213"/>
      <c r="Y213"/>
      <c r="Z213"/>
      <c r="AA213"/>
      <c r="AB213"/>
    </row>
    <row r="214" spans="21:28" s="235" customFormat="1">
      <c r="U214"/>
      <c r="V214"/>
      <c r="W214"/>
      <c r="X214"/>
      <c r="Y214"/>
      <c r="Z214"/>
      <c r="AA214"/>
      <c r="AB214"/>
    </row>
    <row r="215" spans="21:28" s="235" customFormat="1">
      <c r="U215"/>
      <c r="V215"/>
      <c r="W215"/>
      <c r="X215"/>
      <c r="Y215"/>
      <c r="Z215"/>
      <c r="AA215"/>
      <c r="AB215"/>
    </row>
    <row r="216" spans="21:28" s="235" customFormat="1">
      <c r="U216"/>
      <c r="V216"/>
      <c r="W216"/>
      <c r="X216"/>
      <c r="Y216"/>
      <c r="Z216"/>
      <c r="AA216"/>
      <c r="AB216"/>
    </row>
    <row r="217" spans="21:28" s="235" customFormat="1">
      <c r="U217"/>
      <c r="V217"/>
      <c r="W217"/>
      <c r="X217"/>
      <c r="Y217"/>
      <c r="Z217"/>
      <c r="AA217"/>
      <c r="AB217"/>
    </row>
    <row r="218" spans="21:28" s="235" customFormat="1">
      <c r="U218"/>
      <c r="V218"/>
      <c r="W218"/>
      <c r="X218"/>
      <c r="Y218"/>
      <c r="Z218"/>
      <c r="AA218"/>
      <c r="AB218"/>
    </row>
    <row r="219" spans="21:28" s="235" customFormat="1">
      <c r="U219"/>
      <c r="V219"/>
      <c r="W219"/>
      <c r="X219"/>
      <c r="Y219"/>
      <c r="Z219"/>
      <c r="AA219"/>
      <c r="AB219"/>
    </row>
    <row r="220" spans="21:28" s="235" customFormat="1">
      <c r="U220"/>
      <c r="V220"/>
      <c r="W220"/>
      <c r="X220"/>
      <c r="Y220"/>
      <c r="Z220"/>
      <c r="AA220"/>
      <c r="AB220"/>
    </row>
    <row r="221" spans="21:28" s="235" customFormat="1">
      <c r="U221"/>
      <c r="V221"/>
      <c r="W221"/>
      <c r="X221"/>
      <c r="Y221"/>
      <c r="Z221"/>
      <c r="AA221"/>
      <c r="AB221"/>
    </row>
    <row r="222" spans="21:28" s="235" customFormat="1">
      <c r="U222"/>
      <c r="V222"/>
      <c r="W222"/>
      <c r="X222"/>
      <c r="Y222"/>
      <c r="Z222"/>
      <c r="AA222"/>
      <c r="AB222"/>
    </row>
    <row r="223" spans="21:28" s="235" customFormat="1">
      <c r="U223"/>
      <c r="V223"/>
      <c r="W223"/>
      <c r="X223"/>
      <c r="Y223"/>
      <c r="Z223"/>
      <c r="AA223"/>
      <c r="AB223"/>
    </row>
    <row r="224" spans="21:28" s="235" customFormat="1">
      <c r="U224"/>
      <c r="V224"/>
      <c r="W224"/>
      <c r="X224"/>
      <c r="Y224"/>
      <c r="Z224"/>
      <c r="AA224"/>
      <c r="AB224"/>
    </row>
    <row r="225" spans="21:28" s="235" customFormat="1">
      <c r="U225"/>
      <c r="V225"/>
      <c r="W225"/>
      <c r="X225"/>
      <c r="Y225"/>
      <c r="Z225"/>
      <c r="AA225"/>
      <c r="AB225"/>
    </row>
    <row r="226" spans="21:28" s="235" customFormat="1">
      <c r="U226"/>
      <c r="V226"/>
      <c r="W226"/>
      <c r="X226"/>
      <c r="Y226"/>
      <c r="Z226"/>
      <c r="AA226"/>
      <c r="AB226"/>
    </row>
    <row r="227" spans="21:28" s="235" customFormat="1">
      <c r="U227"/>
      <c r="V227"/>
      <c r="W227"/>
      <c r="X227"/>
      <c r="Y227"/>
      <c r="Z227"/>
      <c r="AA227"/>
      <c r="AB227"/>
    </row>
    <row r="228" spans="21:28" s="235" customFormat="1">
      <c r="U228"/>
      <c r="V228"/>
      <c r="W228"/>
      <c r="X228"/>
      <c r="Y228"/>
      <c r="Z228"/>
      <c r="AA228"/>
      <c r="AB228"/>
    </row>
    <row r="229" spans="21:28" s="235" customFormat="1">
      <c r="U229"/>
      <c r="V229"/>
      <c r="W229"/>
      <c r="X229"/>
      <c r="Y229"/>
      <c r="Z229"/>
      <c r="AA229"/>
      <c r="AB229"/>
    </row>
    <row r="230" spans="21:28" s="235" customFormat="1">
      <c r="U230"/>
      <c r="V230"/>
      <c r="W230"/>
      <c r="X230"/>
      <c r="Y230"/>
      <c r="Z230"/>
      <c r="AA230"/>
      <c r="AB230"/>
    </row>
    <row r="231" spans="21:28" s="235" customFormat="1">
      <c r="U231"/>
      <c r="V231"/>
      <c r="W231"/>
      <c r="X231"/>
      <c r="Y231"/>
      <c r="Z231"/>
      <c r="AA231"/>
      <c r="AB231"/>
    </row>
    <row r="232" spans="21:28" s="235" customFormat="1">
      <c r="U232"/>
      <c r="V232"/>
      <c r="W232"/>
      <c r="X232"/>
      <c r="Y232"/>
      <c r="Z232"/>
      <c r="AA232"/>
      <c r="AB232"/>
    </row>
    <row r="233" spans="21:28" s="235" customFormat="1">
      <c r="U233"/>
      <c r="V233"/>
      <c r="W233"/>
      <c r="X233"/>
      <c r="Y233"/>
      <c r="Z233"/>
      <c r="AA233"/>
      <c r="AB233"/>
    </row>
    <row r="234" spans="21:28" s="235" customFormat="1">
      <c r="U234"/>
      <c r="V234"/>
      <c r="W234"/>
      <c r="X234"/>
      <c r="Y234"/>
      <c r="Z234"/>
      <c r="AA234"/>
      <c r="AB234"/>
    </row>
    <row r="235" spans="21:28" s="235" customFormat="1">
      <c r="U235"/>
      <c r="V235"/>
      <c r="W235"/>
      <c r="X235"/>
      <c r="Y235"/>
      <c r="Z235"/>
      <c r="AA235"/>
      <c r="AB235"/>
    </row>
    <row r="236" spans="21:28" s="235" customFormat="1">
      <c r="U236"/>
      <c r="V236"/>
      <c r="W236"/>
      <c r="X236"/>
      <c r="Y236"/>
      <c r="Z236"/>
      <c r="AA236"/>
      <c r="AB236"/>
    </row>
    <row r="237" spans="21:28" s="235" customFormat="1">
      <c r="U237"/>
      <c r="V237"/>
      <c r="W237"/>
      <c r="X237"/>
      <c r="Y237"/>
      <c r="Z237"/>
      <c r="AA237"/>
      <c r="AB237"/>
    </row>
    <row r="238" spans="21:28" s="235" customFormat="1">
      <c r="U238"/>
      <c r="V238"/>
      <c r="W238"/>
      <c r="X238"/>
      <c r="Y238"/>
      <c r="Z238"/>
      <c r="AA238"/>
      <c r="AB238"/>
    </row>
    <row r="239" spans="21:28" s="235" customFormat="1">
      <c r="U239"/>
      <c r="V239"/>
      <c r="W239"/>
      <c r="X239"/>
      <c r="Y239"/>
      <c r="Z239"/>
      <c r="AA239"/>
      <c r="AB239"/>
    </row>
    <row r="240" spans="21:28" s="235" customFormat="1">
      <c r="U240"/>
      <c r="V240"/>
      <c r="W240"/>
      <c r="X240"/>
      <c r="Y240"/>
      <c r="Z240"/>
      <c r="AA240"/>
      <c r="AB240"/>
    </row>
    <row r="241" spans="21:28" s="235" customFormat="1">
      <c r="U241"/>
      <c r="V241"/>
      <c r="W241"/>
      <c r="X241"/>
      <c r="Y241"/>
      <c r="Z241"/>
      <c r="AA241"/>
      <c r="AB241"/>
    </row>
    <row r="242" spans="21:28" s="235" customFormat="1">
      <c r="U242"/>
      <c r="V242"/>
      <c r="W242"/>
      <c r="X242"/>
      <c r="Y242"/>
      <c r="Z242"/>
      <c r="AA242"/>
      <c r="AB242"/>
    </row>
    <row r="243" spans="21:28" s="235" customFormat="1">
      <c r="U243"/>
      <c r="V243"/>
      <c r="W243"/>
      <c r="X243"/>
      <c r="Y243"/>
      <c r="Z243"/>
      <c r="AA243"/>
      <c r="AB243"/>
    </row>
    <row r="244" spans="21:28" s="235" customFormat="1">
      <c r="U244"/>
      <c r="V244"/>
      <c r="W244"/>
      <c r="X244"/>
      <c r="Y244"/>
      <c r="Z244"/>
      <c r="AA244"/>
      <c r="AB244"/>
    </row>
    <row r="245" spans="21:28" s="235" customFormat="1">
      <c r="U245"/>
      <c r="V245"/>
      <c r="W245"/>
      <c r="X245"/>
      <c r="Y245"/>
      <c r="Z245"/>
      <c r="AA245"/>
      <c r="AB245"/>
    </row>
    <row r="246" spans="21:28" s="235" customFormat="1">
      <c r="U246"/>
      <c r="V246"/>
      <c r="W246"/>
      <c r="X246"/>
      <c r="Y246"/>
      <c r="Z246"/>
      <c r="AA246"/>
      <c r="AB246"/>
    </row>
    <row r="247" spans="21:28" s="235" customFormat="1">
      <c r="U247"/>
      <c r="V247"/>
      <c r="W247"/>
      <c r="X247"/>
      <c r="Y247"/>
      <c r="Z247"/>
      <c r="AA247"/>
      <c r="AB247"/>
    </row>
    <row r="248" spans="21:28" s="235" customFormat="1">
      <c r="U248"/>
      <c r="V248"/>
      <c r="W248"/>
      <c r="X248"/>
      <c r="Y248"/>
      <c r="Z248"/>
      <c r="AA248"/>
      <c r="AB248"/>
    </row>
    <row r="249" spans="21:28" s="235" customFormat="1">
      <c r="U249"/>
      <c r="V249"/>
      <c r="W249"/>
      <c r="X249"/>
      <c r="Y249"/>
      <c r="Z249"/>
      <c r="AA249"/>
      <c r="AB249"/>
    </row>
    <row r="250" spans="21:28" s="235" customFormat="1">
      <c r="U250"/>
      <c r="V250"/>
      <c r="W250"/>
      <c r="X250"/>
      <c r="Y250"/>
      <c r="Z250"/>
      <c r="AA250"/>
      <c r="AB250"/>
    </row>
    <row r="251" spans="21:28" s="235" customFormat="1">
      <c r="U251"/>
      <c r="V251"/>
      <c r="W251"/>
      <c r="X251"/>
      <c r="Y251"/>
      <c r="Z251"/>
      <c r="AA251"/>
      <c r="AB251"/>
    </row>
    <row r="252" spans="21:28" s="235" customFormat="1">
      <c r="U252"/>
      <c r="V252"/>
      <c r="W252"/>
      <c r="X252"/>
      <c r="Y252"/>
      <c r="Z252"/>
      <c r="AA252"/>
      <c r="AB252"/>
    </row>
    <row r="253" spans="21:28" s="235" customFormat="1">
      <c r="U253"/>
      <c r="V253"/>
      <c r="W253"/>
      <c r="X253"/>
      <c r="Y253"/>
      <c r="Z253"/>
      <c r="AA253"/>
      <c r="AB253"/>
    </row>
    <row r="254" spans="21:28" s="235" customFormat="1">
      <c r="U254"/>
      <c r="V254"/>
      <c r="W254"/>
      <c r="X254"/>
      <c r="Y254"/>
      <c r="Z254"/>
      <c r="AA254"/>
      <c r="AB254"/>
    </row>
    <row r="255" spans="21:28" s="235" customFormat="1">
      <c r="U255"/>
      <c r="V255"/>
      <c r="W255"/>
      <c r="X255"/>
      <c r="Y255"/>
      <c r="Z255"/>
      <c r="AA255"/>
      <c r="AB255"/>
    </row>
    <row r="256" spans="21:28" s="235" customFormat="1">
      <c r="U256"/>
      <c r="V256"/>
      <c r="W256"/>
      <c r="X256"/>
      <c r="Y256"/>
      <c r="Z256"/>
      <c r="AA256"/>
      <c r="AB256"/>
    </row>
    <row r="257" spans="21:28" s="235" customFormat="1">
      <c r="U257"/>
      <c r="V257"/>
      <c r="W257"/>
      <c r="X257"/>
      <c r="Y257"/>
      <c r="Z257"/>
      <c r="AA257"/>
      <c r="AB257"/>
    </row>
    <row r="258" spans="21:28" s="235" customFormat="1">
      <c r="U258"/>
      <c r="V258"/>
      <c r="W258"/>
      <c r="X258"/>
      <c r="Y258"/>
      <c r="Z258"/>
      <c r="AA258"/>
      <c r="AB258"/>
    </row>
    <row r="259" spans="21:28" s="235" customFormat="1">
      <c r="U259"/>
      <c r="V259"/>
      <c r="W259"/>
      <c r="X259"/>
      <c r="Y259"/>
      <c r="Z259"/>
      <c r="AA259"/>
      <c r="AB259"/>
    </row>
    <row r="260" spans="21:28" s="235" customFormat="1">
      <c r="U260"/>
      <c r="V260"/>
      <c r="W260"/>
      <c r="X260"/>
      <c r="Y260"/>
      <c r="Z260"/>
      <c r="AA260"/>
      <c r="AB260"/>
    </row>
    <row r="261" spans="21:28" s="235" customFormat="1">
      <c r="U261"/>
      <c r="V261"/>
      <c r="W261"/>
      <c r="X261"/>
      <c r="Y261"/>
      <c r="Z261"/>
      <c r="AA261"/>
      <c r="AB261"/>
    </row>
    <row r="262" spans="21:28" s="235" customFormat="1">
      <c r="U262"/>
      <c r="V262"/>
      <c r="W262"/>
      <c r="X262"/>
      <c r="Y262"/>
      <c r="Z262"/>
      <c r="AA262"/>
      <c r="AB262"/>
    </row>
    <row r="263" spans="21:28" s="235" customFormat="1">
      <c r="U263"/>
      <c r="V263"/>
      <c r="W263"/>
      <c r="X263"/>
      <c r="Y263"/>
      <c r="Z263"/>
      <c r="AA263"/>
      <c r="AB263"/>
    </row>
    <row r="264" spans="21:28" s="235" customFormat="1">
      <c r="U264"/>
      <c r="V264"/>
      <c r="W264"/>
      <c r="X264"/>
      <c r="Y264"/>
      <c r="Z264"/>
      <c r="AA264"/>
      <c r="AB264"/>
    </row>
    <row r="265" spans="21:28" s="235" customFormat="1">
      <c r="U265"/>
      <c r="V265"/>
      <c r="W265"/>
      <c r="X265"/>
      <c r="Y265"/>
      <c r="Z265"/>
      <c r="AA265"/>
      <c r="AB265"/>
    </row>
    <row r="266" spans="21:28" s="235" customFormat="1">
      <c r="U266"/>
      <c r="V266"/>
      <c r="W266"/>
      <c r="X266"/>
      <c r="Y266"/>
      <c r="Z266"/>
      <c r="AA266"/>
      <c r="AB266"/>
    </row>
    <row r="267" spans="21:28" s="235" customFormat="1">
      <c r="U267"/>
      <c r="V267"/>
      <c r="W267"/>
      <c r="X267"/>
      <c r="Y267"/>
      <c r="Z267"/>
      <c r="AA267"/>
      <c r="AB267"/>
    </row>
    <row r="268" spans="21:28" s="235" customFormat="1">
      <c r="U268"/>
      <c r="V268"/>
      <c r="W268"/>
      <c r="X268"/>
      <c r="Y268"/>
      <c r="Z268"/>
      <c r="AA268"/>
      <c r="AB268"/>
    </row>
    <row r="269" spans="21:28" s="235" customFormat="1">
      <c r="U269"/>
      <c r="V269"/>
      <c r="W269"/>
      <c r="X269"/>
      <c r="Y269"/>
      <c r="Z269"/>
      <c r="AA269"/>
      <c r="AB269"/>
    </row>
    <row r="270" spans="21:28" s="235" customFormat="1">
      <c r="U270"/>
      <c r="V270"/>
      <c r="W270"/>
      <c r="X270"/>
      <c r="Y270"/>
      <c r="Z270"/>
      <c r="AA270"/>
      <c r="AB270"/>
    </row>
    <row r="271" spans="21:28" s="235" customFormat="1">
      <c r="U271"/>
      <c r="V271"/>
      <c r="W271"/>
      <c r="X271"/>
      <c r="Y271"/>
      <c r="Z271"/>
      <c r="AA271"/>
      <c r="AB271"/>
    </row>
    <row r="272" spans="21:28" s="235" customFormat="1">
      <c r="U272"/>
      <c r="V272"/>
      <c r="W272"/>
      <c r="X272"/>
      <c r="Y272"/>
      <c r="Z272"/>
      <c r="AA272"/>
      <c r="AB272"/>
    </row>
    <row r="273" spans="21:28" s="235" customFormat="1">
      <c r="U273"/>
      <c r="V273"/>
      <c r="W273"/>
      <c r="X273"/>
      <c r="Y273"/>
      <c r="Z273"/>
      <c r="AA273"/>
      <c r="AB273"/>
    </row>
    <row r="274" spans="21:28" s="235" customFormat="1">
      <c r="U274"/>
      <c r="V274"/>
      <c r="W274"/>
      <c r="X274"/>
      <c r="Y274"/>
      <c r="Z274"/>
      <c r="AA274"/>
      <c r="AB274"/>
    </row>
    <row r="275" spans="21:28" s="235" customFormat="1">
      <c r="U275"/>
      <c r="V275"/>
      <c r="W275"/>
      <c r="X275"/>
      <c r="Y275"/>
      <c r="Z275"/>
      <c r="AA275"/>
      <c r="AB275"/>
    </row>
    <row r="276" spans="21:28" s="235" customFormat="1">
      <c r="U276"/>
      <c r="V276"/>
      <c r="W276"/>
      <c r="X276"/>
      <c r="Y276"/>
      <c r="Z276"/>
      <c r="AA276"/>
      <c r="AB276"/>
    </row>
    <row r="277" spans="21:28" s="235" customFormat="1">
      <c r="U277"/>
      <c r="V277"/>
      <c r="W277"/>
      <c r="X277"/>
      <c r="Y277"/>
      <c r="Z277"/>
      <c r="AA277"/>
      <c r="AB277"/>
    </row>
    <row r="278" spans="21:28" s="235" customFormat="1">
      <c r="U278"/>
      <c r="V278"/>
      <c r="W278"/>
      <c r="X278"/>
      <c r="Y278"/>
      <c r="Z278"/>
      <c r="AA278"/>
      <c r="AB278"/>
    </row>
    <row r="279" spans="21:28" s="235" customFormat="1">
      <c r="U279"/>
      <c r="V279"/>
      <c r="W279"/>
      <c r="X279"/>
      <c r="Y279"/>
      <c r="Z279"/>
      <c r="AA279"/>
      <c r="AB279"/>
    </row>
    <row r="280" spans="21:28" s="235" customFormat="1">
      <c r="U280"/>
      <c r="V280"/>
      <c r="W280"/>
      <c r="X280"/>
      <c r="Y280"/>
      <c r="Z280"/>
      <c r="AA280"/>
      <c r="AB280"/>
    </row>
    <row r="281" spans="21:28" s="235" customFormat="1">
      <c r="U281"/>
      <c r="V281"/>
      <c r="W281"/>
      <c r="X281"/>
      <c r="Y281"/>
      <c r="Z281"/>
      <c r="AA281"/>
      <c r="AB281"/>
    </row>
    <row r="282" spans="21:28" s="235" customFormat="1">
      <c r="U282"/>
      <c r="V282"/>
      <c r="W282"/>
      <c r="X282"/>
      <c r="Y282"/>
      <c r="Z282"/>
      <c r="AA282"/>
      <c r="AB282"/>
    </row>
    <row r="283" spans="21:28" s="235" customFormat="1">
      <c r="U283"/>
      <c r="V283"/>
      <c r="W283"/>
      <c r="X283"/>
      <c r="Y283"/>
      <c r="Z283"/>
      <c r="AA283"/>
      <c r="AB283"/>
    </row>
    <row r="284" spans="21:28" s="235" customFormat="1">
      <c r="U284"/>
      <c r="V284"/>
      <c r="W284"/>
      <c r="X284"/>
      <c r="Y284"/>
      <c r="Z284"/>
      <c r="AA284"/>
      <c r="AB284"/>
    </row>
    <row r="285" spans="21:28" s="235" customFormat="1">
      <c r="U285"/>
      <c r="V285"/>
      <c r="W285"/>
      <c r="X285"/>
      <c r="Y285"/>
      <c r="Z285"/>
      <c r="AA285"/>
      <c r="AB285"/>
    </row>
    <row r="286" spans="21:28" s="235" customFormat="1">
      <c r="U286"/>
      <c r="V286"/>
      <c r="W286"/>
      <c r="X286"/>
      <c r="Y286"/>
      <c r="Z286"/>
      <c r="AA286"/>
      <c r="AB286"/>
    </row>
    <row r="287" spans="21:28" s="235" customFormat="1">
      <c r="U287"/>
      <c r="V287"/>
      <c r="W287"/>
      <c r="X287"/>
      <c r="Y287"/>
      <c r="Z287"/>
      <c r="AA287"/>
      <c r="AB287"/>
    </row>
    <row r="288" spans="21:28" s="235" customFormat="1">
      <c r="U288"/>
      <c r="V288"/>
      <c r="W288"/>
      <c r="X288"/>
      <c r="Y288"/>
      <c r="Z288"/>
      <c r="AA288"/>
      <c r="AB288"/>
    </row>
    <row r="289" spans="21:28" s="235" customFormat="1">
      <c r="U289"/>
      <c r="V289"/>
      <c r="W289"/>
      <c r="X289"/>
      <c r="Y289"/>
      <c r="Z289"/>
      <c r="AA289"/>
      <c r="AB289"/>
    </row>
    <row r="290" spans="21:28" s="235" customFormat="1">
      <c r="U290"/>
      <c r="V290"/>
      <c r="W290"/>
      <c r="X290"/>
      <c r="Y290"/>
      <c r="Z290"/>
      <c r="AA290"/>
      <c r="AB290"/>
    </row>
    <row r="291" spans="21:28" s="235" customFormat="1">
      <c r="U291"/>
      <c r="V291"/>
      <c r="W291"/>
      <c r="X291"/>
      <c r="Y291"/>
      <c r="Z291"/>
      <c r="AA291"/>
      <c r="AB291"/>
    </row>
    <row r="292" spans="21:28" s="235" customFormat="1">
      <c r="U292"/>
      <c r="V292"/>
      <c r="W292"/>
      <c r="X292"/>
      <c r="Y292"/>
      <c r="Z292"/>
      <c r="AA292"/>
      <c r="AB292"/>
    </row>
    <row r="293" spans="21:28" s="235" customFormat="1">
      <c r="U293"/>
      <c r="V293"/>
      <c r="W293"/>
      <c r="X293"/>
      <c r="Y293"/>
      <c r="Z293"/>
      <c r="AA293"/>
      <c r="AB293"/>
    </row>
    <row r="294" spans="21:28" s="235" customFormat="1">
      <c r="U294"/>
      <c r="V294"/>
      <c r="W294"/>
      <c r="X294"/>
      <c r="Y294"/>
      <c r="Z294"/>
      <c r="AA294"/>
      <c r="AB294"/>
    </row>
    <row r="295" spans="21:28" s="235" customFormat="1">
      <c r="U295"/>
      <c r="V295"/>
      <c r="W295"/>
      <c r="X295"/>
      <c r="Y295"/>
      <c r="Z295"/>
      <c r="AA295"/>
      <c r="AB295"/>
    </row>
    <row r="296" spans="21:28" s="235" customFormat="1">
      <c r="U296"/>
      <c r="V296"/>
      <c r="W296"/>
      <c r="X296"/>
      <c r="Y296"/>
      <c r="Z296"/>
      <c r="AA296"/>
      <c r="AB296"/>
    </row>
    <row r="297" spans="21:28" s="235" customFormat="1">
      <c r="U297"/>
      <c r="V297"/>
      <c r="W297"/>
      <c r="X297"/>
      <c r="Y297"/>
      <c r="Z297"/>
      <c r="AA297"/>
      <c r="AB297"/>
    </row>
    <row r="298" spans="21:28" s="235" customFormat="1">
      <c r="U298"/>
      <c r="V298"/>
      <c r="W298"/>
      <c r="X298"/>
      <c r="Y298"/>
      <c r="Z298"/>
      <c r="AA298"/>
      <c r="AB298"/>
    </row>
    <row r="299" spans="21:28" s="235" customFormat="1">
      <c r="U299"/>
      <c r="V299"/>
      <c r="W299"/>
      <c r="X299"/>
      <c r="Y299"/>
      <c r="Z299"/>
      <c r="AA299"/>
      <c r="AB299"/>
    </row>
    <row r="300" spans="21:28" s="235" customFormat="1">
      <c r="U300"/>
      <c r="V300"/>
      <c r="W300"/>
      <c r="X300"/>
      <c r="Y300"/>
      <c r="Z300"/>
      <c r="AA300"/>
      <c r="AB300"/>
    </row>
    <row r="301" spans="21:28" s="235" customFormat="1">
      <c r="U301"/>
      <c r="V301"/>
      <c r="W301"/>
      <c r="X301"/>
      <c r="Y301"/>
      <c r="Z301"/>
      <c r="AA301"/>
      <c r="AB301"/>
    </row>
    <row r="302" spans="21:28" s="235" customFormat="1">
      <c r="U302"/>
      <c r="V302"/>
      <c r="W302"/>
      <c r="X302"/>
      <c r="Y302"/>
      <c r="Z302"/>
      <c r="AA302"/>
      <c r="AB302"/>
    </row>
    <row r="303" spans="21:28" s="235" customFormat="1">
      <c r="U303"/>
      <c r="V303"/>
      <c r="W303"/>
      <c r="X303"/>
      <c r="Y303"/>
      <c r="Z303"/>
      <c r="AA303"/>
      <c r="AB303"/>
    </row>
    <row r="304" spans="21:28" s="235" customFormat="1">
      <c r="U304"/>
      <c r="V304"/>
      <c r="W304"/>
      <c r="X304"/>
      <c r="Y304"/>
      <c r="Z304"/>
      <c r="AA304"/>
      <c r="AB304"/>
    </row>
    <row r="305" spans="21:28" s="235" customFormat="1">
      <c r="U305"/>
      <c r="V305"/>
      <c r="W305"/>
      <c r="X305"/>
      <c r="Y305"/>
      <c r="Z305"/>
      <c r="AA305"/>
      <c r="AB305"/>
    </row>
    <row r="306" spans="21:28" s="235" customFormat="1">
      <c r="U306"/>
      <c r="V306"/>
      <c r="W306"/>
      <c r="X306"/>
      <c r="Y306"/>
      <c r="Z306"/>
      <c r="AA306"/>
      <c r="AB306"/>
    </row>
    <row r="307" spans="21:28" s="235" customFormat="1">
      <c r="U307"/>
      <c r="V307"/>
      <c r="W307"/>
      <c r="X307"/>
      <c r="Y307"/>
      <c r="Z307"/>
      <c r="AA307"/>
      <c r="AB307"/>
    </row>
    <row r="308" spans="21:28" s="235" customFormat="1">
      <c r="U308"/>
      <c r="V308"/>
      <c r="W308"/>
      <c r="X308"/>
      <c r="Y308"/>
      <c r="Z308"/>
      <c r="AA308"/>
      <c r="AB308"/>
    </row>
    <row r="309" spans="21:28" s="235" customFormat="1">
      <c r="U309"/>
      <c r="V309"/>
      <c r="W309"/>
      <c r="X309"/>
      <c r="Y309"/>
      <c r="Z309"/>
      <c r="AA309"/>
      <c r="AB309"/>
    </row>
    <row r="310" spans="21:28" s="235" customFormat="1">
      <c r="U310"/>
      <c r="V310"/>
      <c r="W310"/>
      <c r="X310"/>
      <c r="Y310"/>
      <c r="Z310"/>
      <c r="AA310"/>
      <c r="AB310"/>
    </row>
    <row r="311" spans="21:28" s="235" customFormat="1">
      <c r="U311"/>
      <c r="V311"/>
      <c r="W311"/>
      <c r="X311"/>
      <c r="Y311"/>
      <c r="Z311"/>
      <c r="AA311"/>
      <c r="AB311"/>
    </row>
    <row r="312" spans="21:28" s="235" customFormat="1">
      <c r="U312"/>
      <c r="V312"/>
      <c r="W312"/>
      <c r="X312"/>
      <c r="Y312"/>
      <c r="Z312"/>
      <c r="AA312"/>
      <c r="AB312"/>
    </row>
    <row r="313" spans="21:28" s="235" customFormat="1">
      <c r="U313"/>
      <c r="V313"/>
      <c r="W313"/>
      <c r="X313"/>
      <c r="Y313"/>
      <c r="Z313"/>
      <c r="AA313"/>
      <c r="AB313"/>
    </row>
    <row r="314" spans="21:28" s="235" customFormat="1">
      <c r="U314"/>
      <c r="V314"/>
      <c r="W314"/>
      <c r="X314"/>
      <c r="Y314"/>
      <c r="Z314"/>
      <c r="AA314"/>
      <c r="AB314"/>
    </row>
    <row r="315" spans="21:28" s="235" customFormat="1">
      <c r="U315"/>
      <c r="V315"/>
      <c r="W315"/>
      <c r="X315"/>
      <c r="Y315"/>
      <c r="Z315"/>
      <c r="AA315"/>
      <c r="AB315"/>
    </row>
    <row r="316" spans="21:28" s="235" customFormat="1">
      <c r="U316"/>
      <c r="V316"/>
      <c r="W316"/>
      <c r="X316"/>
      <c r="Y316"/>
      <c r="Z316"/>
      <c r="AA316"/>
      <c r="AB316"/>
    </row>
    <row r="317" spans="21:28" s="235" customFormat="1">
      <c r="U317"/>
      <c r="V317"/>
      <c r="W317"/>
      <c r="X317"/>
      <c r="Y317"/>
      <c r="Z317"/>
      <c r="AA317"/>
      <c r="AB317"/>
    </row>
    <row r="318" spans="21:28" s="235" customFormat="1">
      <c r="U318"/>
      <c r="V318"/>
      <c r="W318"/>
      <c r="X318"/>
      <c r="Y318"/>
      <c r="Z318"/>
      <c r="AA318"/>
      <c r="AB318"/>
    </row>
    <row r="319" spans="21:28" s="235" customFormat="1">
      <c r="U319"/>
      <c r="V319"/>
      <c r="W319"/>
      <c r="X319"/>
      <c r="Y319"/>
      <c r="Z319"/>
      <c r="AA319"/>
      <c r="AB319"/>
    </row>
    <row r="320" spans="21:28" s="235" customFormat="1">
      <c r="U320"/>
      <c r="V320"/>
      <c r="W320"/>
      <c r="X320"/>
      <c r="Y320"/>
      <c r="Z320"/>
      <c r="AA320"/>
      <c r="AB320"/>
    </row>
    <row r="321" spans="21:28" s="235" customFormat="1">
      <c r="U321"/>
      <c r="V321"/>
      <c r="W321"/>
      <c r="X321"/>
      <c r="Y321"/>
      <c r="Z321"/>
      <c r="AA321"/>
      <c r="AB321"/>
    </row>
    <row r="322" spans="21:28" s="235" customFormat="1">
      <c r="U322"/>
      <c r="V322"/>
      <c r="W322"/>
      <c r="X322"/>
      <c r="Y322"/>
      <c r="Z322"/>
      <c r="AA322"/>
      <c r="AB322"/>
    </row>
    <row r="323" spans="21:28" s="235" customFormat="1">
      <c r="U323"/>
      <c r="V323"/>
      <c r="W323"/>
      <c r="X323"/>
      <c r="Y323"/>
      <c r="Z323"/>
      <c r="AA323"/>
      <c r="AB323"/>
    </row>
    <row r="324" spans="21:28" s="235" customFormat="1">
      <c r="U324"/>
      <c r="V324"/>
      <c r="W324"/>
      <c r="X324"/>
      <c r="Y324"/>
      <c r="Z324"/>
      <c r="AA324"/>
      <c r="AB324"/>
    </row>
    <row r="325" spans="21:28" s="235" customFormat="1">
      <c r="U325"/>
      <c r="V325"/>
      <c r="W325"/>
      <c r="X325"/>
      <c r="Y325"/>
      <c r="Z325"/>
      <c r="AA325"/>
      <c r="AB325"/>
    </row>
    <row r="326" spans="21:28" s="235" customFormat="1">
      <c r="U326"/>
      <c r="V326"/>
      <c r="W326"/>
      <c r="X326"/>
      <c r="Y326"/>
      <c r="Z326"/>
      <c r="AA326"/>
      <c r="AB326"/>
    </row>
    <row r="327" spans="21:28" s="235" customFormat="1">
      <c r="U327"/>
      <c r="V327"/>
      <c r="W327"/>
      <c r="X327"/>
      <c r="Y327"/>
      <c r="Z327"/>
      <c r="AA327"/>
      <c r="AB327"/>
    </row>
    <row r="328" spans="21:28" s="235" customFormat="1">
      <c r="U328"/>
      <c r="V328"/>
      <c r="W328"/>
      <c r="X328"/>
      <c r="Y328"/>
      <c r="Z328"/>
      <c r="AA328"/>
      <c r="AB328"/>
    </row>
    <row r="329" spans="21:28" s="235" customFormat="1">
      <c r="U329"/>
      <c r="V329"/>
      <c r="W329"/>
      <c r="X329"/>
      <c r="Y329"/>
      <c r="Z329"/>
      <c r="AA329"/>
      <c r="AB329"/>
    </row>
    <row r="330" spans="21:28" s="235" customFormat="1">
      <c r="U330"/>
      <c r="V330"/>
      <c r="W330"/>
      <c r="X330"/>
      <c r="Y330"/>
      <c r="Z330"/>
      <c r="AA330"/>
      <c r="AB330"/>
    </row>
    <row r="331" spans="21:28" s="235" customFormat="1">
      <c r="U331"/>
      <c r="V331"/>
      <c r="W331"/>
      <c r="X331"/>
      <c r="Y331"/>
      <c r="Z331"/>
      <c r="AA331"/>
      <c r="AB331"/>
    </row>
    <row r="332" spans="21:28" s="235" customFormat="1">
      <c r="U332"/>
      <c r="V332"/>
      <c r="W332"/>
      <c r="X332"/>
      <c r="Y332"/>
      <c r="Z332"/>
      <c r="AA332"/>
      <c r="AB332"/>
    </row>
    <row r="333" spans="21:28" s="235" customFormat="1">
      <c r="U333"/>
      <c r="V333"/>
      <c r="W333"/>
      <c r="X333"/>
      <c r="Y333"/>
      <c r="Z333"/>
      <c r="AA333"/>
      <c r="AB333"/>
    </row>
    <row r="334" spans="21:28" s="235" customFormat="1">
      <c r="U334"/>
      <c r="V334"/>
      <c r="W334"/>
      <c r="X334"/>
      <c r="Y334"/>
      <c r="Z334"/>
      <c r="AA334"/>
      <c r="AB334"/>
    </row>
    <row r="335" spans="21:28" s="235" customFormat="1">
      <c r="U335"/>
      <c r="V335"/>
      <c r="W335"/>
      <c r="X335"/>
      <c r="Y335"/>
      <c r="Z335"/>
      <c r="AA335"/>
      <c r="AB335"/>
    </row>
    <row r="336" spans="21:28" s="235" customFormat="1">
      <c r="U336"/>
      <c r="V336"/>
      <c r="W336"/>
      <c r="X336"/>
      <c r="Y336"/>
      <c r="Z336"/>
      <c r="AA336"/>
      <c r="AB336"/>
    </row>
  </sheetData>
  <mergeCells count="61">
    <mergeCell ref="V41:AA41"/>
    <mergeCell ref="V24:AA24"/>
    <mergeCell ref="V29:AA29"/>
    <mergeCell ref="V30:AA30"/>
    <mergeCell ref="V35:AA35"/>
    <mergeCell ref="V36:AA36"/>
    <mergeCell ref="V23:AA23"/>
    <mergeCell ref="P6:R6"/>
    <mergeCell ref="C8:E8"/>
    <mergeCell ref="C9:F9"/>
    <mergeCell ref="O9:R9"/>
    <mergeCell ref="C10:F10"/>
    <mergeCell ref="O11:R11"/>
    <mergeCell ref="C12:F12"/>
    <mergeCell ref="O12:R12"/>
    <mergeCell ref="C13:F13"/>
    <mergeCell ref="N13:R13"/>
    <mergeCell ref="C15:D16"/>
    <mergeCell ref="S15:S16"/>
    <mergeCell ref="C92:D93"/>
    <mergeCell ref="C57:D57"/>
    <mergeCell ref="C41:D41"/>
    <mergeCell ref="C4:E4"/>
    <mergeCell ref="C11:F11"/>
    <mergeCell ref="B14:S14"/>
    <mergeCell ref="B15:B16"/>
    <mergeCell ref="C65:D65"/>
    <mergeCell ref="C59:D59"/>
    <mergeCell ref="C61:D61"/>
    <mergeCell ref="C39:D39"/>
    <mergeCell ref="C90:D90"/>
    <mergeCell ref="C43:D43"/>
    <mergeCell ref="C24:D24"/>
    <mergeCell ref="C30:D30"/>
    <mergeCell ref="C33:D33"/>
    <mergeCell ref="A1:A99"/>
    <mergeCell ref="C45:D45"/>
    <mergeCell ref="C47:D47"/>
    <mergeCell ref="C49:D49"/>
    <mergeCell ref="C51:D51"/>
    <mergeCell ref="C53:D53"/>
    <mergeCell ref="C55:D55"/>
    <mergeCell ref="C19:D19"/>
    <mergeCell ref="C79:D80"/>
    <mergeCell ref="C26:D26"/>
    <mergeCell ref="C94:D95"/>
    <mergeCell ref="C35:D35"/>
    <mergeCell ref="B96:D96"/>
    <mergeCell ref="B97:D97"/>
    <mergeCell ref="B98:D98"/>
    <mergeCell ref="B99:D99"/>
    <mergeCell ref="C63:D63"/>
    <mergeCell ref="L2:N2"/>
    <mergeCell ref="L3:N3"/>
    <mergeCell ref="C37:D37"/>
    <mergeCell ref="E15:E16"/>
    <mergeCell ref="F15:F16"/>
    <mergeCell ref="G15:R15"/>
    <mergeCell ref="C22:D22"/>
    <mergeCell ref="C17:D17"/>
    <mergeCell ref="C21:D21"/>
  </mergeCells>
  <pageMargins left="2.8740157480314963" right="0.70866141732283472" top="0.55118110236220474" bottom="0.15748031496062992" header="0.11811023622047245" footer="0.11811023622047245"/>
  <pageSetup paperSize="8" scale="55" orientation="landscape" r:id="rId1"/>
  <drawing r:id="rId2"/>
</worksheet>
</file>

<file path=xl/worksheets/sheet7.xml><?xml version="1.0" encoding="utf-8"?>
<worksheet xmlns="http://schemas.openxmlformats.org/spreadsheetml/2006/main" xmlns:r="http://schemas.openxmlformats.org/officeDocument/2006/relationships">
  <dimension ref="A1:AS223"/>
  <sheetViews>
    <sheetView workbookViewId="0">
      <selection activeCell="B2" sqref="B2:E2"/>
    </sheetView>
  </sheetViews>
  <sheetFormatPr defaultColWidth="9.140625" defaultRowHeight="15"/>
  <cols>
    <col min="1" max="1" width="2.7109375" style="235" customWidth="1"/>
    <col min="2" max="2" width="18.28515625" customWidth="1"/>
    <col min="3" max="3" width="51.140625" customWidth="1"/>
    <col min="6" max="6" width="1.85546875" style="235" customWidth="1"/>
    <col min="7" max="7" width="9.140625" style="279"/>
    <col min="8" max="8" width="11.28515625" style="279" customWidth="1"/>
    <col min="9" max="12" width="9.140625" style="279"/>
    <col min="13" max="45" width="9.140625" style="235"/>
  </cols>
  <sheetData>
    <row r="1" spans="2:6" ht="16.5" customHeight="1">
      <c r="B1" s="208"/>
      <c r="C1" s="209"/>
      <c r="D1" s="209"/>
      <c r="E1" s="209"/>
      <c r="F1" s="278"/>
    </row>
    <row r="2" spans="2:6" ht="16.5" customHeight="1">
      <c r="B2" s="674" t="s">
        <v>2729</v>
      </c>
      <c r="C2" s="674"/>
      <c r="D2" s="674"/>
      <c r="E2" s="674"/>
      <c r="F2" s="278"/>
    </row>
    <row r="3" spans="2:6" ht="16.5" customHeight="1">
      <c r="B3" s="208"/>
      <c r="C3" s="209"/>
      <c r="D3" s="209"/>
      <c r="E3" s="209"/>
      <c r="F3" s="278"/>
    </row>
    <row r="4" spans="2:6" ht="16.5" customHeight="1">
      <c r="B4" s="675" t="s">
        <v>2902</v>
      </c>
      <c r="C4" s="676"/>
      <c r="D4" s="676"/>
      <c r="E4" s="677"/>
      <c r="F4" s="278"/>
    </row>
    <row r="5" spans="2:6" ht="16.5" customHeight="1">
      <c r="B5" s="675"/>
      <c r="C5" s="676"/>
      <c r="D5" s="676"/>
      <c r="E5" s="677"/>
      <c r="F5" s="278"/>
    </row>
    <row r="6" spans="2:6" ht="16.5" customHeight="1">
      <c r="B6" s="678"/>
      <c r="C6" s="679"/>
      <c r="D6" s="679"/>
      <c r="E6" s="680"/>
      <c r="F6" s="278"/>
    </row>
    <row r="7" spans="2:6" ht="16.5" customHeight="1">
      <c r="B7" s="681"/>
      <c r="C7" s="682"/>
      <c r="D7" s="682"/>
      <c r="E7" s="683"/>
      <c r="F7" s="278"/>
    </row>
    <row r="8" spans="2:6" ht="16.5" customHeight="1">
      <c r="B8" s="690" t="s">
        <v>2730</v>
      </c>
      <c r="C8" s="690"/>
      <c r="D8" s="691" t="s">
        <v>2731</v>
      </c>
      <c r="E8" s="691"/>
      <c r="F8" s="278"/>
    </row>
    <row r="9" spans="2:6" ht="16.5" customHeight="1">
      <c r="B9" s="692" t="s">
        <v>2732</v>
      </c>
      <c r="C9" s="692"/>
      <c r="D9" s="693" t="s">
        <v>2733</v>
      </c>
      <c r="E9" s="693"/>
      <c r="F9" s="278"/>
    </row>
    <row r="10" spans="2:6">
      <c r="B10" s="696"/>
      <c r="C10" s="697"/>
      <c r="D10" s="697"/>
      <c r="E10" s="698"/>
    </row>
    <row r="11" spans="2:6">
      <c r="B11" s="694" t="s">
        <v>1196</v>
      </c>
      <c r="C11" s="694" t="s">
        <v>1197</v>
      </c>
      <c r="D11" s="210"/>
      <c r="E11" s="671" t="s">
        <v>1158</v>
      </c>
    </row>
    <row r="12" spans="2:6">
      <c r="B12" s="695"/>
      <c r="C12" s="695"/>
      <c r="D12" s="211"/>
      <c r="E12" s="672"/>
    </row>
    <row r="13" spans="2:6">
      <c r="B13" s="289"/>
      <c r="C13" s="290"/>
      <c r="D13" s="290"/>
      <c r="E13" s="291"/>
    </row>
    <row r="14" spans="2:6">
      <c r="B14" s="291">
        <v>1</v>
      </c>
      <c r="C14" s="292" t="s">
        <v>2734</v>
      </c>
      <c r="D14" s="292"/>
      <c r="E14" s="293">
        <v>4</v>
      </c>
    </row>
    <row r="15" spans="2:6">
      <c r="B15" s="294"/>
      <c r="C15" s="295"/>
      <c r="D15" s="295"/>
      <c r="E15" s="296" t="s">
        <v>1154</v>
      </c>
    </row>
    <row r="16" spans="2:6">
      <c r="B16" s="291">
        <v>2</v>
      </c>
      <c r="C16" s="292" t="s">
        <v>2735</v>
      </c>
      <c r="D16" s="292"/>
      <c r="E16" s="293">
        <v>0.62</v>
      </c>
    </row>
    <row r="17" spans="2:8">
      <c r="B17" s="291"/>
      <c r="C17" s="292"/>
      <c r="D17" s="292"/>
      <c r="E17" s="293"/>
    </row>
    <row r="18" spans="2:8">
      <c r="B18" s="291">
        <v>3</v>
      </c>
      <c r="C18" s="292" t="s">
        <v>2736</v>
      </c>
      <c r="D18" s="292"/>
      <c r="E18" s="293">
        <v>1.04</v>
      </c>
    </row>
    <row r="19" spans="2:8">
      <c r="B19" s="291"/>
      <c r="C19" s="292"/>
      <c r="D19" s="292"/>
      <c r="E19" s="293"/>
    </row>
    <row r="20" spans="2:8">
      <c r="B20" s="291">
        <v>4</v>
      </c>
      <c r="C20" s="292" t="s">
        <v>2737</v>
      </c>
      <c r="D20" s="292"/>
      <c r="E20" s="293">
        <v>1.05</v>
      </c>
      <c r="H20" s="280"/>
    </row>
    <row r="21" spans="2:8">
      <c r="B21" s="294"/>
      <c r="C21" s="295"/>
      <c r="D21" s="295"/>
      <c r="E21" s="296"/>
    </row>
    <row r="22" spans="2:8">
      <c r="B22" s="291">
        <v>5</v>
      </c>
      <c r="C22" s="292" t="s">
        <v>2738</v>
      </c>
      <c r="D22" s="283"/>
      <c r="E22" s="297">
        <v>7.4</v>
      </c>
    </row>
    <row r="23" spans="2:8">
      <c r="B23" s="291"/>
      <c r="C23" s="292"/>
      <c r="D23" s="292"/>
      <c r="E23" s="293"/>
    </row>
    <row r="24" spans="2:8">
      <c r="B24" s="291">
        <v>6</v>
      </c>
      <c r="C24" s="292" t="s">
        <v>2739</v>
      </c>
      <c r="D24" s="292"/>
      <c r="E24" s="293">
        <f>SUM(D25:D27)</f>
        <v>4.6500000000000004</v>
      </c>
    </row>
    <row r="25" spans="2:8">
      <c r="B25" s="294">
        <v>41278</v>
      </c>
      <c r="C25" s="298" t="s">
        <v>1198</v>
      </c>
      <c r="D25" s="296">
        <v>1</v>
      </c>
      <c r="E25" s="296" t="s">
        <v>1154</v>
      </c>
    </row>
    <row r="26" spans="2:8">
      <c r="B26" s="294">
        <v>41309</v>
      </c>
      <c r="C26" s="295" t="s">
        <v>1199</v>
      </c>
      <c r="D26" s="299">
        <v>0.65</v>
      </c>
      <c r="E26" s="296" t="s">
        <v>1154</v>
      </c>
    </row>
    <row r="27" spans="2:8">
      <c r="B27" s="294">
        <v>41337</v>
      </c>
      <c r="C27" s="295" t="s">
        <v>1200</v>
      </c>
      <c r="D27" s="296">
        <v>3</v>
      </c>
      <c r="E27" s="296" t="s">
        <v>1154</v>
      </c>
    </row>
    <row r="28" spans="2:8">
      <c r="B28" s="294"/>
      <c r="C28" s="295"/>
      <c r="D28" s="295"/>
      <c r="E28" s="296"/>
    </row>
    <row r="29" spans="2:8" ht="20.100000000000001" customHeight="1">
      <c r="B29" s="687" t="s">
        <v>2740</v>
      </c>
      <c r="C29" s="688"/>
      <c r="D29" s="689"/>
      <c r="E29" s="213">
        <v>0.2026</v>
      </c>
    </row>
    <row r="30" spans="2:8">
      <c r="B30" s="684" t="s">
        <v>1154</v>
      </c>
      <c r="C30" s="685"/>
      <c r="D30" s="282"/>
      <c r="E30" s="283"/>
    </row>
    <row r="31" spans="2:8">
      <c r="B31" s="284" t="s">
        <v>1201</v>
      </c>
      <c r="C31" s="596" t="s">
        <v>1202</v>
      </c>
      <c r="D31" s="596"/>
      <c r="E31" s="686"/>
    </row>
    <row r="32" spans="2:8">
      <c r="B32" s="284"/>
      <c r="C32" s="235"/>
      <c r="D32" s="235"/>
      <c r="E32" s="285"/>
    </row>
    <row r="33" spans="1:45">
      <c r="B33" s="284"/>
      <c r="C33" s="235"/>
      <c r="D33" s="235"/>
      <c r="E33" s="285"/>
    </row>
    <row r="34" spans="1:45">
      <c r="B34" s="284"/>
      <c r="C34" s="235"/>
      <c r="D34" s="235"/>
      <c r="E34" s="285"/>
    </row>
    <row r="35" spans="1:45">
      <c r="B35" s="284"/>
      <c r="C35" s="235"/>
      <c r="D35" s="235"/>
      <c r="E35" s="285"/>
    </row>
    <row r="36" spans="1:45">
      <c r="B36" s="284"/>
      <c r="C36" s="235"/>
      <c r="D36" s="235"/>
      <c r="E36" s="285"/>
    </row>
    <row r="37" spans="1:45">
      <c r="B37" s="284"/>
      <c r="C37" s="235"/>
      <c r="D37" s="235"/>
      <c r="E37" s="285"/>
    </row>
    <row r="38" spans="1:45">
      <c r="B38" s="286"/>
      <c r="C38" s="287"/>
      <c r="D38" s="287"/>
      <c r="E38" s="288"/>
    </row>
    <row r="39" spans="1:45">
      <c r="B39" s="300"/>
      <c r="C39" s="301"/>
      <c r="D39" s="301"/>
      <c r="E39" s="302"/>
    </row>
    <row r="40" spans="1:45" s="145" customFormat="1" ht="20.100000000000001" customHeight="1">
      <c r="A40" s="223"/>
      <c r="B40" s="673" t="s">
        <v>2741</v>
      </c>
      <c r="C40" s="673"/>
      <c r="D40" s="214" t="s">
        <v>2742</v>
      </c>
      <c r="E40" s="215">
        <v>0.1326</v>
      </c>
      <c r="F40" s="223"/>
      <c r="G40" s="281"/>
      <c r="H40" s="281"/>
      <c r="I40" s="281"/>
      <c r="J40" s="281"/>
      <c r="K40" s="281"/>
      <c r="L40" s="281"/>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row>
    <row r="41" spans="1:45" s="235" customFormat="1">
      <c r="G41" s="279"/>
      <c r="H41" s="279"/>
      <c r="I41" s="279"/>
      <c r="J41" s="279"/>
      <c r="K41" s="279"/>
      <c r="L41" s="279"/>
    </row>
    <row r="42" spans="1:45" s="235" customFormat="1">
      <c r="G42" s="279"/>
      <c r="H42" s="279"/>
      <c r="I42" s="279"/>
      <c r="J42" s="279"/>
      <c r="K42" s="279"/>
      <c r="L42" s="279"/>
    </row>
    <row r="43" spans="1:45" s="235" customFormat="1">
      <c r="G43" s="279"/>
      <c r="H43" s="279"/>
      <c r="I43" s="279"/>
      <c r="J43" s="279"/>
      <c r="K43" s="279"/>
      <c r="L43" s="279"/>
    </row>
    <row r="44" spans="1:45" s="235" customFormat="1">
      <c r="G44" s="279"/>
      <c r="H44" s="279"/>
      <c r="I44" s="279"/>
      <c r="J44" s="279"/>
      <c r="K44" s="279"/>
      <c r="L44" s="279"/>
    </row>
    <row r="45" spans="1:45" s="235" customFormat="1">
      <c r="G45" s="279"/>
      <c r="H45" s="279"/>
      <c r="I45" s="279"/>
      <c r="J45" s="279"/>
      <c r="K45" s="279"/>
      <c r="L45" s="279"/>
    </row>
    <row r="46" spans="1:45" s="235" customFormat="1">
      <c r="G46" s="279"/>
      <c r="H46" s="279"/>
      <c r="I46" s="279"/>
      <c r="J46" s="279"/>
      <c r="K46" s="279"/>
      <c r="L46" s="279"/>
    </row>
    <row r="47" spans="1:45" s="235" customFormat="1">
      <c r="G47" s="279"/>
      <c r="H47" s="279"/>
      <c r="I47" s="279"/>
      <c r="J47" s="279"/>
      <c r="K47" s="279"/>
      <c r="L47" s="279"/>
    </row>
    <row r="48" spans="1:45" s="235" customFormat="1">
      <c r="G48" s="279"/>
      <c r="H48" s="279"/>
      <c r="I48" s="279"/>
      <c r="J48" s="279"/>
      <c r="K48" s="279"/>
      <c r="L48" s="279"/>
    </row>
    <row r="49" spans="7:12" s="235" customFormat="1">
      <c r="G49" s="279"/>
      <c r="H49" s="279"/>
      <c r="I49" s="279"/>
      <c r="J49" s="279"/>
      <c r="K49" s="279"/>
      <c r="L49" s="279"/>
    </row>
    <row r="50" spans="7:12" s="235" customFormat="1">
      <c r="G50" s="279"/>
      <c r="H50" s="279"/>
      <c r="I50" s="279"/>
      <c r="J50" s="279"/>
      <c r="K50" s="279"/>
      <c r="L50" s="279"/>
    </row>
    <row r="51" spans="7:12" s="235" customFormat="1">
      <c r="G51" s="279"/>
      <c r="H51" s="279"/>
      <c r="I51" s="279"/>
      <c r="J51" s="279"/>
      <c r="K51" s="279"/>
      <c r="L51" s="279"/>
    </row>
    <row r="52" spans="7:12" s="235" customFormat="1">
      <c r="G52" s="279"/>
      <c r="H52" s="279"/>
      <c r="I52" s="279"/>
      <c r="J52" s="279"/>
      <c r="K52" s="279"/>
      <c r="L52" s="279"/>
    </row>
    <row r="53" spans="7:12" s="235" customFormat="1">
      <c r="G53" s="279"/>
      <c r="H53" s="279"/>
      <c r="I53" s="279"/>
      <c r="J53" s="279"/>
      <c r="K53" s="279"/>
      <c r="L53" s="279"/>
    </row>
    <row r="54" spans="7:12" s="235" customFormat="1">
      <c r="G54" s="279"/>
      <c r="H54" s="279"/>
      <c r="I54" s="279"/>
      <c r="J54" s="279"/>
      <c r="K54" s="279"/>
      <c r="L54" s="279"/>
    </row>
    <row r="55" spans="7:12" s="235" customFormat="1">
      <c r="G55" s="279"/>
      <c r="H55" s="279"/>
      <c r="I55" s="279"/>
      <c r="J55" s="279"/>
      <c r="K55" s="279"/>
      <c r="L55" s="279"/>
    </row>
    <row r="56" spans="7:12" s="235" customFormat="1">
      <c r="G56" s="279"/>
      <c r="H56" s="279"/>
      <c r="I56" s="279"/>
      <c r="J56" s="279"/>
      <c r="K56" s="279"/>
      <c r="L56" s="279"/>
    </row>
    <row r="57" spans="7:12" s="235" customFormat="1">
      <c r="G57" s="279"/>
      <c r="H57" s="279"/>
      <c r="I57" s="279"/>
      <c r="J57" s="279"/>
      <c r="K57" s="279"/>
      <c r="L57" s="279"/>
    </row>
    <row r="58" spans="7:12" s="235" customFormat="1">
      <c r="G58" s="279"/>
      <c r="H58" s="279"/>
      <c r="I58" s="279"/>
      <c r="J58" s="279"/>
      <c r="K58" s="279"/>
      <c r="L58" s="279"/>
    </row>
    <row r="59" spans="7:12" s="235" customFormat="1">
      <c r="G59" s="279"/>
      <c r="H59" s="279"/>
      <c r="I59" s="279"/>
      <c r="J59" s="279"/>
      <c r="K59" s="279"/>
      <c r="L59" s="279"/>
    </row>
    <row r="60" spans="7:12" s="235" customFormat="1">
      <c r="G60" s="279"/>
      <c r="H60" s="279"/>
      <c r="I60" s="279"/>
      <c r="J60" s="279"/>
      <c r="K60" s="279"/>
      <c r="L60" s="279"/>
    </row>
    <row r="61" spans="7:12" s="235" customFormat="1">
      <c r="G61" s="279"/>
      <c r="H61" s="279"/>
      <c r="I61" s="279"/>
      <c r="J61" s="279"/>
      <c r="K61" s="279"/>
      <c r="L61" s="279"/>
    </row>
    <row r="62" spans="7:12" s="235" customFormat="1">
      <c r="G62" s="279"/>
      <c r="H62" s="279"/>
      <c r="I62" s="279"/>
      <c r="J62" s="279"/>
      <c r="K62" s="279"/>
      <c r="L62" s="279"/>
    </row>
    <row r="63" spans="7:12" s="235" customFormat="1">
      <c r="G63" s="279"/>
      <c r="H63" s="279"/>
      <c r="I63" s="279"/>
      <c r="J63" s="279"/>
      <c r="K63" s="279"/>
      <c r="L63" s="279"/>
    </row>
    <row r="64" spans="7:12" s="235" customFormat="1">
      <c r="G64" s="279"/>
      <c r="H64" s="279"/>
      <c r="I64" s="279"/>
      <c r="J64" s="279"/>
      <c r="K64" s="279"/>
      <c r="L64" s="279"/>
    </row>
    <row r="65" spans="7:12" s="235" customFormat="1">
      <c r="G65" s="279"/>
      <c r="H65" s="279"/>
      <c r="I65" s="279"/>
      <c r="J65" s="279"/>
      <c r="K65" s="279"/>
      <c r="L65" s="279"/>
    </row>
    <row r="66" spans="7:12" s="235" customFormat="1">
      <c r="G66" s="279"/>
      <c r="H66" s="279"/>
      <c r="I66" s="279"/>
      <c r="J66" s="279"/>
      <c r="K66" s="279"/>
      <c r="L66" s="279"/>
    </row>
    <row r="67" spans="7:12" s="235" customFormat="1">
      <c r="G67" s="279"/>
      <c r="H67" s="279"/>
      <c r="I67" s="279"/>
      <c r="J67" s="279"/>
      <c r="K67" s="279"/>
      <c r="L67" s="279"/>
    </row>
    <row r="68" spans="7:12" s="235" customFormat="1">
      <c r="G68" s="279"/>
      <c r="H68" s="279"/>
      <c r="I68" s="279"/>
      <c r="J68" s="279"/>
      <c r="K68" s="279"/>
      <c r="L68" s="279"/>
    </row>
    <row r="69" spans="7:12" s="235" customFormat="1">
      <c r="G69" s="279"/>
      <c r="H69" s="279"/>
      <c r="I69" s="279"/>
      <c r="J69" s="279"/>
      <c r="K69" s="279"/>
      <c r="L69" s="279"/>
    </row>
    <row r="70" spans="7:12" s="235" customFormat="1">
      <c r="G70" s="279"/>
      <c r="H70" s="279"/>
      <c r="I70" s="279"/>
      <c r="J70" s="279"/>
      <c r="K70" s="279"/>
      <c r="L70" s="279"/>
    </row>
    <row r="71" spans="7:12" s="235" customFormat="1">
      <c r="G71" s="279"/>
      <c r="H71" s="279"/>
      <c r="I71" s="279"/>
      <c r="J71" s="279"/>
      <c r="K71" s="279"/>
      <c r="L71" s="279"/>
    </row>
    <row r="72" spans="7:12" s="235" customFormat="1">
      <c r="G72" s="279"/>
      <c r="H72" s="279"/>
      <c r="I72" s="279"/>
      <c r="J72" s="279"/>
      <c r="K72" s="279"/>
      <c r="L72" s="279"/>
    </row>
    <row r="73" spans="7:12" s="235" customFormat="1">
      <c r="G73" s="279"/>
      <c r="H73" s="279"/>
      <c r="I73" s="279"/>
      <c r="J73" s="279"/>
      <c r="K73" s="279"/>
      <c r="L73" s="279"/>
    </row>
    <row r="74" spans="7:12" s="235" customFormat="1">
      <c r="G74" s="279"/>
      <c r="H74" s="279"/>
      <c r="I74" s="279"/>
      <c r="J74" s="279"/>
      <c r="K74" s="279"/>
      <c r="L74" s="279"/>
    </row>
    <row r="75" spans="7:12" s="235" customFormat="1">
      <c r="G75" s="279"/>
      <c r="H75" s="279"/>
      <c r="I75" s="279"/>
      <c r="J75" s="279"/>
      <c r="K75" s="279"/>
      <c r="L75" s="279"/>
    </row>
    <row r="76" spans="7:12" s="235" customFormat="1">
      <c r="G76" s="279"/>
      <c r="H76" s="279"/>
      <c r="I76" s="279"/>
      <c r="J76" s="279"/>
      <c r="K76" s="279"/>
      <c r="L76" s="279"/>
    </row>
    <row r="77" spans="7:12" s="235" customFormat="1">
      <c r="G77" s="279"/>
      <c r="H77" s="279"/>
      <c r="I77" s="279"/>
      <c r="J77" s="279"/>
      <c r="K77" s="279"/>
      <c r="L77" s="279"/>
    </row>
    <row r="78" spans="7:12" s="235" customFormat="1">
      <c r="G78" s="279"/>
      <c r="H78" s="279"/>
      <c r="I78" s="279"/>
      <c r="J78" s="279"/>
      <c r="K78" s="279"/>
      <c r="L78" s="279"/>
    </row>
    <row r="79" spans="7:12" s="235" customFormat="1">
      <c r="G79" s="279"/>
      <c r="H79" s="279"/>
      <c r="I79" s="279"/>
      <c r="J79" s="279"/>
      <c r="K79" s="279"/>
      <c r="L79" s="279"/>
    </row>
    <row r="80" spans="7:12" s="235" customFormat="1">
      <c r="G80" s="279"/>
      <c r="H80" s="279"/>
      <c r="I80" s="279"/>
      <c r="J80" s="279"/>
      <c r="K80" s="279"/>
      <c r="L80" s="279"/>
    </row>
    <row r="81" spans="7:12" s="235" customFormat="1">
      <c r="G81" s="279"/>
      <c r="H81" s="279"/>
      <c r="I81" s="279"/>
      <c r="J81" s="279"/>
      <c r="K81" s="279"/>
      <c r="L81" s="279"/>
    </row>
    <row r="82" spans="7:12" s="235" customFormat="1">
      <c r="G82" s="279"/>
      <c r="H82" s="279"/>
      <c r="I82" s="279"/>
      <c r="J82" s="279"/>
      <c r="K82" s="279"/>
      <c r="L82" s="279"/>
    </row>
    <row r="83" spans="7:12" s="235" customFormat="1">
      <c r="G83" s="279"/>
      <c r="H83" s="279"/>
      <c r="I83" s="279"/>
      <c r="J83" s="279"/>
      <c r="K83" s="279"/>
      <c r="L83" s="279"/>
    </row>
    <row r="84" spans="7:12" s="235" customFormat="1">
      <c r="G84" s="279"/>
      <c r="H84" s="279"/>
      <c r="I84" s="279"/>
      <c r="J84" s="279"/>
      <c r="K84" s="279"/>
      <c r="L84" s="279"/>
    </row>
    <row r="85" spans="7:12" s="235" customFormat="1">
      <c r="G85" s="279"/>
      <c r="H85" s="279"/>
      <c r="I85" s="279"/>
      <c r="J85" s="279"/>
      <c r="K85" s="279"/>
      <c r="L85" s="279"/>
    </row>
    <row r="86" spans="7:12" s="235" customFormat="1">
      <c r="G86" s="279"/>
      <c r="H86" s="279"/>
      <c r="I86" s="279"/>
      <c r="J86" s="279"/>
      <c r="K86" s="279"/>
      <c r="L86" s="279"/>
    </row>
    <row r="87" spans="7:12" s="235" customFormat="1">
      <c r="G87" s="279"/>
      <c r="H87" s="279"/>
      <c r="I87" s="279"/>
      <c r="J87" s="279"/>
      <c r="K87" s="279"/>
      <c r="L87" s="279"/>
    </row>
    <row r="88" spans="7:12" s="235" customFormat="1">
      <c r="G88" s="279"/>
      <c r="H88" s="279"/>
      <c r="I88" s="279"/>
      <c r="J88" s="279"/>
      <c r="K88" s="279"/>
      <c r="L88" s="279"/>
    </row>
    <row r="89" spans="7:12" s="235" customFormat="1">
      <c r="G89" s="279"/>
      <c r="H89" s="279"/>
      <c r="I89" s="279"/>
      <c r="J89" s="279"/>
      <c r="K89" s="279"/>
      <c r="L89" s="279"/>
    </row>
    <row r="90" spans="7:12" s="235" customFormat="1">
      <c r="G90" s="279"/>
      <c r="H90" s="279"/>
      <c r="I90" s="279"/>
      <c r="J90" s="279"/>
      <c r="K90" s="279"/>
      <c r="L90" s="279"/>
    </row>
    <row r="91" spans="7:12" s="235" customFormat="1">
      <c r="G91" s="279"/>
      <c r="H91" s="279"/>
      <c r="I91" s="279"/>
      <c r="J91" s="279"/>
      <c r="K91" s="279"/>
      <c r="L91" s="279"/>
    </row>
    <row r="92" spans="7:12" s="235" customFormat="1">
      <c r="G92" s="279"/>
      <c r="H92" s="279"/>
      <c r="I92" s="279"/>
      <c r="J92" s="279"/>
      <c r="K92" s="279"/>
      <c r="L92" s="279"/>
    </row>
    <row r="93" spans="7:12" s="235" customFormat="1">
      <c r="G93" s="279"/>
      <c r="H93" s="279"/>
      <c r="I93" s="279"/>
      <c r="J93" s="279"/>
      <c r="K93" s="279"/>
      <c r="L93" s="279"/>
    </row>
    <row r="94" spans="7:12" s="235" customFormat="1">
      <c r="G94" s="279"/>
      <c r="H94" s="279"/>
      <c r="I94" s="279"/>
      <c r="J94" s="279"/>
      <c r="K94" s="279"/>
      <c r="L94" s="279"/>
    </row>
    <row r="95" spans="7:12" s="235" customFormat="1">
      <c r="G95" s="279"/>
      <c r="H95" s="279"/>
      <c r="I95" s="279"/>
      <c r="J95" s="279"/>
      <c r="K95" s="279"/>
      <c r="L95" s="279"/>
    </row>
    <row r="96" spans="7:12" s="235" customFormat="1">
      <c r="G96" s="279"/>
      <c r="H96" s="279"/>
      <c r="I96" s="279"/>
      <c r="J96" s="279"/>
      <c r="K96" s="279"/>
      <c r="L96" s="279"/>
    </row>
    <row r="97" spans="7:12" s="235" customFormat="1">
      <c r="G97" s="279"/>
      <c r="H97" s="279"/>
      <c r="I97" s="279"/>
      <c r="J97" s="279"/>
      <c r="K97" s="279"/>
      <c r="L97" s="279"/>
    </row>
    <row r="98" spans="7:12" s="235" customFormat="1">
      <c r="G98" s="279"/>
      <c r="H98" s="279"/>
      <c r="I98" s="279"/>
      <c r="J98" s="279"/>
      <c r="K98" s="279"/>
      <c r="L98" s="279"/>
    </row>
    <row r="99" spans="7:12" s="235" customFormat="1">
      <c r="G99" s="279"/>
      <c r="H99" s="279"/>
      <c r="I99" s="279"/>
      <c r="J99" s="279"/>
      <c r="K99" s="279"/>
      <c r="L99" s="279"/>
    </row>
    <row r="100" spans="7:12" s="235" customFormat="1">
      <c r="G100" s="279"/>
      <c r="H100" s="279"/>
      <c r="I100" s="279"/>
      <c r="J100" s="279"/>
      <c r="K100" s="279"/>
      <c r="L100" s="279"/>
    </row>
    <row r="101" spans="7:12" s="235" customFormat="1">
      <c r="G101" s="279"/>
      <c r="H101" s="279"/>
      <c r="I101" s="279"/>
      <c r="J101" s="279"/>
      <c r="K101" s="279"/>
      <c r="L101" s="279"/>
    </row>
    <row r="102" spans="7:12" s="235" customFormat="1">
      <c r="G102" s="279"/>
      <c r="H102" s="279"/>
      <c r="I102" s="279"/>
      <c r="J102" s="279"/>
      <c r="K102" s="279"/>
      <c r="L102" s="279"/>
    </row>
    <row r="103" spans="7:12" s="235" customFormat="1">
      <c r="G103" s="279"/>
      <c r="H103" s="279"/>
      <c r="I103" s="279"/>
      <c r="J103" s="279"/>
      <c r="K103" s="279"/>
      <c r="L103" s="279"/>
    </row>
    <row r="104" spans="7:12" s="235" customFormat="1">
      <c r="G104" s="279"/>
      <c r="H104" s="279"/>
      <c r="I104" s="279"/>
      <c r="J104" s="279"/>
      <c r="K104" s="279"/>
      <c r="L104" s="279"/>
    </row>
    <row r="105" spans="7:12" s="235" customFormat="1">
      <c r="G105" s="279"/>
      <c r="H105" s="279"/>
      <c r="I105" s="279"/>
      <c r="J105" s="279"/>
      <c r="K105" s="279"/>
      <c r="L105" s="279"/>
    </row>
    <row r="106" spans="7:12" s="235" customFormat="1">
      <c r="G106" s="279"/>
      <c r="H106" s="279"/>
      <c r="I106" s="279"/>
      <c r="J106" s="279"/>
      <c r="K106" s="279"/>
      <c r="L106" s="279"/>
    </row>
    <row r="107" spans="7:12" s="235" customFormat="1">
      <c r="G107" s="279"/>
      <c r="H107" s="279"/>
      <c r="I107" s="279"/>
      <c r="J107" s="279"/>
      <c r="K107" s="279"/>
      <c r="L107" s="279"/>
    </row>
    <row r="108" spans="7:12" s="235" customFormat="1">
      <c r="G108" s="279"/>
      <c r="H108" s="279"/>
      <c r="I108" s="279"/>
      <c r="J108" s="279"/>
      <c r="K108" s="279"/>
      <c r="L108" s="279"/>
    </row>
    <row r="109" spans="7:12" s="235" customFormat="1">
      <c r="G109" s="279"/>
      <c r="H109" s="279"/>
      <c r="I109" s="279"/>
      <c r="J109" s="279"/>
      <c r="K109" s="279"/>
      <c r="L109" s="279"/>
    </row>
    <row r="110" spans="7:12" s="235" customFormat="1">
      <c r="G110" s="279"/>
      <c r="H110" s="279"/>
      <c r="I110" s="279"/>
      <c r="J110" s="279"/>
      <c r="K110" s="279"/>
      <c r="L110" s="279"/>
    </row>
    <row r="111" spans="7:12" s="235" customFormat="1">
      <c r="G111" s="279"/>
      <c r="H111" s="279"/>
      <c r="I111" s="279"/>
      <c r="J111" s="279"/>
      <c r="K111" s="279"/>
      <c r="L111" s="279"/>
    </row>
    <row r="112" spans="7:12" s="235" customFormat="1">
      <c r="G112" s="279"/>
      <c r="H112" s="279"/>
      <c r="I112" s="279"/>
      <c r="J112" s="279"/>
      <c r="K112" s="279"/>
      <c r="L112" s="279"/>
    </row>
    <row r="113" spans="7:12" s="235" customFormat="1">
      <c r="G113" s="279"/>
      <c r="H113" s="279"/>
      <c r="I113" s="279"/>
      <c r="J113" s="279"/>
      <c r="K113" s="279"/>
      <c r="L113" s="279"/>
    </row>
    <row r="114" spans="7:12" s="235" customFormat="1">
      <c r="G114" s="279"/>
      <c r="H114" s="279"/>
      <c r="I114" s="279"/>
      <c r="J114" s="279"/>
      <c r="K114" s="279"/>
      <c r="L114" s="279"/>
    </row>
    <row r="115" spans="7:12" s="235" customFormat="1">
      <c r="G115" s="279"/>
      <c r="H115" s="279"/>
      <c r="I115" s="279"/>
      <c r="J115" s="279"/>
      <c r="K115" s="279"/>
      <c r="L115" s="279"/>
    </row>
    <row r="116" spans="7:12" s="235" customFormat="1">
      <c r="G116" s="279"/>
      <c r="H116" s="279"/>
      <c r="I116" s="279"/>
      <c r="J116" s="279"/>
      <c r="K116" s="279"/>
      <c r="L116" s="279"/>
    </row>
    <row r="117" spans="7:12" s="235" customFormat="1">
      <c r="G117" s="279"/>
      <c r="H117" s="279"/>
      <c r="I117" s="279"/>
      <c r="J117" s="279"/>
      <c r="K117" s="279"/>
      <c r="L117" s="279"/>
    </row>
    <row r="118" spans="7:12" s="235" customFormat="1">
      <c r="G118" s="279"/>
      <c r="H118" s="279"/>
      <c r="I118" s="279"/>
      <c r="J118" s="279"/>
      <c r="K118" s="279"/>
      <c r="L118" s="279"/>
    </row>
    <row r="119" spans="7:12" s="235" customFormat="1">
      <c r="G119" s="279"/>
      <c r="H119" s="279"/>
      <c r="I119" s="279"/>
      <c r="J119" s="279"/>
      <c r="K119" s="279"/>
      <c r="L119" s="279"/>
    </row>
    <row r="120" spans="7:12" s="235" customFormat="1">
      <c r="G120" s="279"/>
      <c r="H120" s="279"/>
      <c r="I120" s="279"/>
      <c r="J120" s="279"/>
      <c r="K120" s="279"/>
      <c r="L120" s="279"/>
    </row>
    <row r="121" spans="7:12" s="235" customFormat="1">
      <c r="G121" s="279"/>
      <c r="H121" s="279"/>
      <c r="I121" s="279"/>
      <c r="J121" s="279"/>
      <c r="K121" s="279"/>
      <c r="L121" s="279"/>
    </row>
    <row r="122" spans="7:12" s="235" customFormat="1">
      <c r="G122" s="279"/>
      <c r="H122" s="279"/>
      <c r="I122" s="279"/>
      <c r="J122" s="279"/>
      <c r="K122" s="279"/>
      <c r="L122" s="279"/>
    </row>
    <row r="123" spans="7:12" s="235" customFormat="1">
      <c r="G123" s="279"/>
      <c r="H123" s="279"/>
      <c r="I123" s="279"/>
      <c r="J123" s="279"/>
      <c r="K123" s="279"/>
      <c r="L123" s="279"/>
    </row>
    <row r="124" spans="7:12" s="235" customFormat="1">
      <c r="G124" s="279"/>
      <c r="H124" s="279"/>
      <c r="I124" s="279"/>
      <c r="J124" s="279"/>
      <c r="K124" s="279"/>
      <c r="L124" s="279"/>
    </row>
    <row r="125" spans="7:12" s="235" customFormat="1">
      <c r="G125" s="279"/>
      <c r="H125" s="279"/>
      <c r="I125" s="279"/>
      <c r="J125" s="279"/>
      <c r="K125" s="279"/>
      <c r="L125" s="279"/>
    </row>
    <row r="126" spans="7:12" s="235" customFormat="1">
      <c r="G126" s="279"/>
      <c r="H126" s="279"/>
      <c r="I126" s="279"/>
      <c r="J126" s="279"/>
      <c r="K126" s="279"/>
      <c r="L126" s="279"/>
    </row>
    <row r="127" spans="7:12" s="235" customFormat="1">
      <c r="G127" s="279"/>
      <c r="H127" s="279"/>
      <c r="I127" s="279"/>
      <c r="J127" s="279"/>
      <c r="K127" s="279"/>
      <c r="L127" s="279"/>
    </row>
    <row r="128" spans="7:12" s="235" customFormat="1">
      <c r="G128" s="279"/>
      <c r="H128" s="279"/>
      <c r="I128" s="279"/>
      <c r="J128" s="279"/>
      <c r="K128" s="279"/>
      <c r="L128" s="279"/>
    </row>
    <row r="129" spans="7:12" s="235" customFormat="1">
      <c r="G129" s="279"/>
      <c r="H129" s="279"/>
      <c r="I129" s="279"/>
      <c r="J129" s="279"/>
      <c r="K129" s="279"/>
      <c r="L129" s="279"/>
    </row>
    <row r="130" spans="7:12" s="235" customFormat="1">
      <c r="G130" s="279"/>
      <c r="H130" s="279"/>
      <c r="I130" s="279"/>
      <c r="J130" s="279"/>
      <c r="K130" s="279"/>
      <c r="L130" s="279"/>
    </row>
    <row r="131" spans="7:12" s="235" customFormat="1">
      <c r="G131" s="279"/>
      <c r="H131" s="279"/>
      <c r="I131" s="279"/>
      <c r="J131" s="279"/>
      <c r="K131" s="279"/>
      <c r="L131" s="279"/>
    </row>
    <row r="132" spans="7:12" s="235" customFormat="1">
      <c r="G132" s="279"/>
      <c r="H132" s="279"/>
      <c r="I132" s="279"/>
      <c r="J132" s="279"/>
      <c r="K132" s="279"/>
      <c r="L132" s="279"/>
    </row>
    <row r="133" spans="7:12" s="235" customFormat="1">
      <c r="G133" s="279"/>
      <c r="H133" s="279"/>
      <c r="I133" s="279"/>
      <c r="J133" s="279"/>
      <c r="K133" s="279"/>
      <c r="L133" s="279"/>
    </row>
    <row r="134" spans="7:12" s="235" customFormat="1">
      <c r="G134" s="279"/>
      <c r="H134" s="279"/>
      <c r="I134" s="279"/>
      <c r="J134" s="279"/>
      <c r="K134" s="279"/>
      <c r="L134" s="279"/>
    </row>
    <row r="135" spans="7:12" s="235" customFormat="1">
      <c r="G135" s="279"/>
      <c r="H135" s="279"/>
      <c r="I135" s="279"/>
      <c r="J135" s="279"/>
      <c r="K135" s="279"/>
      <c r="L135" s="279"/>
    </row>
    <row r="136" spans="7:12" s="235" customFormat="1">
      <c r="G136" s="279"/>
      <c r="H136" s="279"/>
      <c r="I136" s="279"/>
      <c r="J136" s="279"/>
      <c r="K136" s="279"/>
      <c r="L136" s="279"/>
    </row>
    <row r="137" spans="7:12" s="235" customFormat="1">
      <c r="G137" s="279"/>
      <c r="H137" s="279"/>
      <c r="I137" s="279"/>
      <c r="J137" s="279"/>
      <c r="K137" s="279"/>
      <c r="L137" s="279"/>
    </row>
    <row r="138" spans="7:12" s="235" customFormat="1">
      <c r="G138" s="279"/>
      <c r="H138" s="279"/>
      <c r="I138" s="279"/>
      <c r="J138" s="279"/>
      <c r="K138" s="279"/>
      <c r="L138" s="279"/>
    </row>
    <row r="139" spans="7:12" s="235" customFormat="1">
      <c r="G139" s="279"/>
      <c r="H139" s="279"/>
      <c r="I139" s="279"/>
      <c r="J139" s="279"/>
      <c r="K139" s="279"/>
      <c r="L139" s="279"/>
    </row>
    <row r="140" spans="7:12" s="235" customFormat="1">
      <c r="G140" s="279"/>
      <c r="H140" s="279"/>
      <c r="I140" s="279"/>
      <c r="J140" s="279"/>
      <c r="K140" s="279"/>
      <c r="L140" s="279"/>
    </row>
    <row r="141" spans="7:12" s="235" customFormat="1">
      <c r="G141" s="279"/>
      <c r="H141" s="279"/>
      <c r="I141" s="279"/>
      <c r="J141" s="279"/>
      <c r="K141" s="279"/>
      <c r="L141" s="279"/>
    </row>
    <row r="142" spans="7:12" s="235" customFormat="1">
      <c r="G142" s="279"/>
      <c r="H142" s="279"/>
      <c r="I142" s="279"/>
      <c r="J142" s="279"/>
      <c r="K142" s="279"/>
      <c r="L142" s="279"/>
    </row>
    <row r="143" spans="7:12" s="235" customFormat="1">
      <c r="G143" s="279"/>
      <c r="H143" s="279"/>
      <c r="I143" s="279"/>
      <c r="J143" s="279"/>
      <c r="K143" s="279"/>
      <c r="L143" s="279"/>
    </row>
    <row r="144" spans="7:12" s="235" customFormat="1">
      <c r="G144" s="279"/>
      <c r="H144" s="279"/>
      <c r="I144" s="279"/>
      <c r="J144" s="279"/>
      <c r="K144" s="279"/>
      <c r="L144" s="279"/>
    </row>
    <row r="145" spans="7:12" s="235" customFormat="1">
      <c r="G145" s="279"/>
      <c r="H145" s="279"/>
      <c r="I145" s="279"/>
      <c r="J145" s="279"/>
      <c r="K145" s="279"/>
      <c r="L145" s="279"/>
    </row>
    <row r="146" spans="7:12" s="235" customFormat="1">
      <c r="G146" s="279"/>
      <c r="H146" s="279"/>
      <c r="I146" s="279"/>
      <c r="J146" s="279"/>
      <c r="K146" s="279"/>
      <c r="L146" s="279"/>
    </row>
    <row r="147" spans="7:12" s="235" customFormat="1">
      <c r="G147" s="279"/>
      <c r="H147" s="279"/>
      <c r="I147" s="279"/>
      <c r="J147" s="279"/>
      <c r="K147" s="279"/>
      <c r="L147" s="279"/>
    </row>
    <row r="148" spans="7:12" s="235" customFormat="1">
      <c r="G148" s="279"/>
      <c r="H148" s="279"/>
      <c r="I148" s="279"/>
      <c r="J148" s="279"/>
      <c r="K148" s="279"/>
      <c r="L148" s="279"/>
    </row>
    <row r="149" spans="7:12" s="235" customFormat="1">
      <c r="G149" s="279"/>
      <c r="H149" s="279"/>
      <c r="I149" s="279"/>
      <c r="J149" s="279"/>
      <c r="K149" s="279"/>
      <c r="L149" s="279"/>
    </row>
    <row r="150" spans="7:12" s="235" customFormat="1">
      <c r="G150" s="279"/>
      <c r="H150" s="279"/>
      <c r="I150" s="279"/>
      <c r="J150" s="279"/>
      <c r="K150" s="279"/>
      <c r="L150" s="279"/>
    </row>
    <row r="151" spans="7:12" s="235" customFormat="1">
      <c r="G151" s="279"/>
      <c r="H151" s="279"/>
      <c r="I151" s="279"/>
      <c r="J151" s="279"/>
      <c r="K151" s="279"/>
      <c r="L151" s="279"/>
    </row>
    <row r="152" spans="7:12" s="235" customFormat="1">
      <c r="G152" s="279"/>
      <c r="H152" s="279"/>
      <c r="I152" s="279"/>
      <c r="J152" s="279"/>
      <c r="K152" s="279"/>
      <c r="L152" s="279"/>
    </row>
    <row r="153" spans="7:12" s="235" customFormat="1">
      <c r="G153" s="279"/>
      <c r="H153" s="279"/>
      <c r="I153" s="279"/>
      <c r="J153" s="279"/>
      <c r="K153" s="279"/>
      <c r="L153" s="279"/>
    </row>
    <row r="154" spans="7:12" s="235" customFormat="1">
      <c r="G154" s="279"/>
      <c r="H154" s="279"/>
      <c r="I154" s="279"/>
      <c r="J154" s="279"/>
      <c r="K154" s="279"/>
      <c r="L154" s="279"/>
    </row>
    <row r="155" spans="7:12" s="235" customFormat="1">
      <c r="G155" s="279"/>
      <c r="H155" s="279"/>
      <c r="I155" s="279"/>
      <c r="J155" s="279"/>
      <c r="K155" s="279"/>
      <c r="L155" s="279"/>
    </row>
    <row r="156" spans="7:12" s="235" customFormat="1">
      <c r="G156" s="279"/>
      <c r="H156" s="279"/>
      <c r="I156" s="279"/>
      <c r="J156" s="279"/>
      <c r="K156" s="279"/>
      <c r="L156" s="279"/>
    </row>
    <row r="157" spans="7:12" s="235" customFormat="1">
      <c r="G157" s="279"/>
      <c r="H157" s="279"/>
      <c r="I157" s="279"/>
      <c r="J157" s="279"/>
      <c r="K157" s="279"/>
      <c r="L157" s="279"/>
    </row>
    <row r="158" spans="7:12" s="235" customFormat="1">
      <c r="G158" s="279"/>
      <c r="H158" s="279"/>
      <c r="I158" s="279"/>
      <c r="J158" s="279"/>
      <c r="K158" s="279"/>
      <c r="L158" s="279"/>
    </row>
    <row r="159" spans="7:12" s="235" customFormat="1">
      <c r="G159" s="279"/>
      <c r="H159" s="279"/>
      <c r="I159" s="279"/>
      <c r="J159" s="279"/>
      <c r="K159" s="279"/>
      <c r="L159" s="279"/>
    </row>
    <row r="160" spans="7:12" s="235" customFormat="1">
      <c r="G160" s="279"/>
      <c r="H160" s="279"/>
      <c r="I160" s="279"/>
      <c r="J160" s="279"/>
      <c r="K160" s="279"/>
      <c r="L160" s="279"/>
    </row>
    <row r="161" spans="7:12" s="235" customFormat="1">
      <c r="G161" s="279"/>
      <c r="H161" s="279"/>
      <c r="I161" s="279"/>
      <c r="J161" s="279"/>
      <c r="K161" s="279"/>
      <c r="L161" s="279"/>
    </row>
    <row r="162" spans="7:12" s="235" customFormat="1">
      <c r="G162" s="279"/>
      <c r="H162" s="279"/>
      <c r="I162" s="279"/>
      <c r="J162" s="279"/>
      <c r="K162" s="279"/>
      <c r="L162" s="279"/>
    </row>
    <row r="163" spans="7:12" s="235" customFormat="1">
      <c r="G163" s="279"/>
      <c r="H163" s="279"/>
      <c r="I163" s="279"/>
      <c r="J163" s="279"/>
      <c r="K163" s="279"/>
      <c r="L163" s="279"/>
    </row>
    <row r="164" spans="7:12" s="235" customFormat="1">
      <c r="G164" s="279"/>
      <c r="H164" s="279"/>
      <c r="I164" s="279"/>
      <c r="J164" s="279"/>
      <c r="K164" s="279"/>
      <c r="L164" s="279"/>
    </row>
    <row r="165" spans="7:12" s="235" customFormat="1">
      <c r="G165" s="279"/>
      <c r="H165" s="279"/>
      <c r="I165" s="279"/>
      <c r="J165" s="279"/>
      <c r="K165" s="279"/>
      <c r="L165" s="279"/>
    </row>
    <row r="166" spans="7:12" s="235" customFormat="1">
      <c r="G166" s="279"/>
      <c r="H166" s="279"/>
      <c r="I166" s="279"/>
      <c r="J166" s="279"/>
      <c r="K166" s="279"/>
      <c r="L166" s="279"/>
    </row>
    <row r="167" spans="7:12" s="235" customFormat="1">
      <c r="G167" s="279"/>
      <c r="H167" s="279"/>
      <c r="I167" s="279"/>
      <c r="J167" s="279"/>
      <c r="K167" s="279"/>
      <c r="L167" s="279"/>
    </row>
    <row r="168" spans="7:12" s="235" customFormat="1">
      <c r="G168" s="279"/>
      <c r="H168" s="279"/>
      <c r="I168" s="279"/>
      <c r="J168" s="279"/>
      <c r="K168" s="279"/>
      <c r="L168" s="279"/>
    </row>
    <row r="169" spans="7:12" s="235" customFormat="1">
      <c r="G169" s="279"/>
      <c r="H169" s="279"/>
      <c r="I169" s="279"/>
      <c r="J169" s="279"/>
      <c r="K169" s="279"/>
      <c r="L169" s="279"/>
    </row>
    <row r="170" spans="7:12" s="235" customFormat="1">
      <c r="G170" s="279"/>
      <c r="H170" s="279"/>
      <c r="I170" s="279"/>
      <c r="J170" s="279"/>
      <c r="K170" s="279"/>
      <c r="L170" s="279"/>
    </row>
    <row r="171" spans="7:12" s="235" customFormat="1">
      <c r="G171" s="279"/>
      <c r="H171" s="279"/>
      <c r="I171" s="279"/>
      <c r="J171" s="279"/>
      <c r="K171" s="279"/>
      <c r="L171" s="279"/>
    </row>
    <row r="172" spans="7:12" s="235" customFormat="1">
      <c r="G172" s="279"/>
      <c r="H172" s="279"/>
      <c r="I172" s="279"/>
      <c r="J172" s="279"/>
      <c r="K172" s="279"/>
      <c r="L172" s="279"/>
    </row>
    <row r="173" spans="7:12" s="235" customFormat="1">
      <c r="G173" s="279"/>
      <c r="H173" s="279"/>
      <c r="I173" s="279"/>
      <c r="J173" s="279"/>
      <c r="K173" s="279"/>
      <c r="L173" s="279"/>
    </row>
    <row r="174" spans="7:12" s="235" customFormat="1">
      <c r="G174" s="279"/>
      <c r="H174" s="279"/>
      <c r="I174" s="279"/>
      <c r="J174" s="279"/>
      <c r="K174" s="279"/>
      <c r="L174" s="279"/>
    </row>
    <row r="175" spans="7:12" s="235" customFormat="1">
      <c r="G175" s="279"/>
      <c r="H175" s="279"/>
      <c r="I175" s="279"/>
      <c r="J175" s="279"/>
      <c r="K175" s="279"/>
      <c r="L175" s="279"/>
    </row>
    <row r="176" spans="7:12" s="235" customFormat="1">
      <c r="G176" s="279"/>
      <c r="H176" s="279"/>
      <c r="I176" s="279"/>
      <c r="J176" s="279"/>
      <c r="K176" s="279"/>
      <c r="L176" s="279"/>
    </row>
    <row r="177" spans="7:12" s="235" customFormat="1">
      <c r="G177" s="279"/>
      <c r="H177" s="279"/>
      <c r="I177" s="279"/>
      <c r="J177" s="279"/>
      <c r="K177" s="279"/>
      <c r="L177" s="279"/>
    </row>
    <row r="178" spans="7:12" s="235" customFormat="1">
      <c r="G178" s="279"/>
      <c r="H178" s="279"/>
      <c r="I178" s="279"/>
      <c r="J178" s="279"/>
      <c r="K178" s="279"/>
      <c r="L178" s="279"/>
    </row>
    <row r="179" spans="7:12" s="235" customFormat="1">
      <c r="G179" s="279"/>
      <c r="H179" s="279"/>
      <c r="I179" s="279"/>
      <c r="J179" s="279"/>
      <c r="K179" s="279"/>
      <c r="L179" s="279"/>
    </row>
    <row r="180" spans="7:12" s="235" customFormat="1">
      <c r="G180" s="279"/>
      <c r="H180" s="279"/>
      <c r="I180" s="279"/>
      <c r="J180" s="279"/>
      <c r="K180" s="279"/>
      <c r="L180" s="279"/>
    </row>
    <row r="181" spans="7:12" s="235" customFormat="1">
      <c r="G181" s="279"/>
      <c r="H181" s="279"/>
      <c r="I181" s="279"/>
      <c r="J181" s="279"/>
      <c r="K181" s="279"/>
      <c r="L181" s="279"/>
    </row>
    <row r="182" spans="7:12" s="235" customFormat="1">
      <c r="G182" s="279"/>
      <c r="H182" s="279"/>
      <c r="I182" s="279"/>
      <c r="J182" s="279"/>
      <c r="K182" s="279"/>
      <c r="L182" s="279"/>
    </row>
    <row r="183" spans="7:12" s="235" customFormat="1">
      <c r="G183" s="279"/>
      <c r="H183" s="279"/>
      <c r="I183" s="279"/>
      <c r="J183" s="279"/>
      <c r="K183" s="279"/>
      <c r="L183" s="279"/>
    </row>
    <row r="184" spans="7:12" s="235" customFormat="1">
      <c r="G184" s="279"/>
      <c r="H184" s="279"/>
      <c r="I184" s="279"/>
      <c r="J184" s="279"/>
      <c r="K184" s="279"/>
      <c r="L184" s="279"/>
    </row>
    <row r="185" spans="7:12" s="235" customFormat="1">
      <c r="G185" s="279"/>
      <c r="H185" s="279"/>
      <c r="I185" s="279"/>
      <c r="J185" s="279"/>
      <c r="K185" s="279"/>
      <c r="L185" s="279"/>
    </row>
    <row r="186" spans="7:12" s="235" customFormat="1">
      <c r="G186" s="279"/>
      <c r="H186" s="279"/>
      <c r="I186" s="279"/>
      <c r="J186" s="279"/>
      <c r="K186" s="279"/>
      <c r="L186" s="279"/>
    </row>
    <row r="187" spans="7:12" s="235" customFormat="1">
      <c r="G187" s="279"/>
      <c r="H187" s="279"/>
      <c r="I187" s="279"/>
      <c r="J187" s="279"/>
      <c r="K187" s="279"/>
      <c r="L187" s="279"/>
    </row>
    <row r="188" spans="7:12" s="235" customFormat="1">
      <c r="G188" s="279"/>
      <c r="H188" s="279"/>
      <c r="I188" s="279"/>
      <c r="J188" s="279"/>
      <c r="K188" s="279"/>
      <c r="L188" s="279"/>
    </row>
    <row r="189" spans="7:12" s="235" customFormat="1">
      <c r="G189" s="279"/>
      <c r="H189" s="279"/>
      <c r="I189" s="279"/>
      <c r="J189" s="279"/>
      <c r="K189" s="279"/>
      <c r="L189" s="279"/>
    </row>
    <row r="190" spans="7:12" s="235" customFormat="1">
      <c r="G190" s="279"/>
      <c r="H190" s="279"/>
      <c r="I190" s="279"/>
      <c r="J190" s="279"/>
      <c r="K190" s="279"/>
      <c r="L190" s="279"/>
    </row>
    <row r="191" spans="7:12" s="235" customFormat="1">
      <c r="G191" s="279"/>
      <c r="H191" s="279"/>
      <c r="I191" s="279"/>
      <c r="J191" s="279"/>
      <c r="K191" s="279"/>
      <c r="L191" s="279"/>
    </row>
    <row r="192" spans="7:12" s="235" customFormat="1">
      <c r="G192" s="279"/>
      <c r="H192" s="279"/>
      <c r="I192" s="279"/>
      <c r="J192" s="279"/>
      <c r="K192" s="279"/>
      <c r="L192" s="279"/>
    </row>
    <row r="193" spans="7:12" s="235" customFormat="1">
      <c r="G193" s="279"/>
      <c r="H193" s="279"/>
      <c r="I193" s="279"/>
      <c r="J193" s="279"/>
      <c r="K193" s="279"/>
      <c r="L193" s="279"/>
    </row>
    <row r="194" spans="7:12" s="235" customFormat="1">
      <c r="G194" s="279"/>
      <c r="H194" s="279"/>
      <c r="I194" s="279"/>
      <c r="J194" s="279"/>
      <c r="K194" s="279"/>
      <c r="L194" s="279"/>
    </row>
    <row r="195" spans="7:12" s="235" customFormat="1">
      <c r="G195" s="279"/>
      <c r="H195" s="279"/>
      <c r="I195" s="279"/>
      <c r="J195" s="279"/>
      <c r="K195" s="279"/>
      <c r="L195" s="279"/>
    </row>
    <row r="196" spans="7:12" s="235" customFormat="1">
      <c r="G196" s="279"/>
      <c r="H196" s="279"/>
      <c r="I196" s="279"/>
      <c r="J196" s="279"/>
      <c r="K196" s="279"/>
      <c r="L196" s="279"/>
    </row>
    <row r="197" spans="7:12" s="235" customFormat="1">
      <c r="G197" s="279"/>
      <c r="H197" s="279"/>
      <c r="I197" s="279"/>
      <c r="J197" s="279"/>
      <c r="K197" s="279"/>
      <c r="L197" s="279"/>
    </row>
    <row r="198" spans="7:12" s="235" customFormat="1">
      <c r="G198" s="279"/>
      <c r="H198" s="279"/>
      <c r="I198" s="279"/>
      <c r="J198" s="279"/>
      <c r="K198" s="279"/>
      <c r="L198" s="279"/>
    </row>
    <row r="199" spans="7:12" s="235" customFormat="1">
      <c r="G199" s="279"/>
      <c r="H199" s="279"/>
      <c r="I199" s="279"/>
      <c r="J199" s="279"/>
      <c r="K199" s="279"/>
      <c r="L199" s="279"/>
    </row>
    <row r="200" spans="7:12" s="235" customFormat="1">
      <c r="G200" s="279"/>
      <c r="H200" s="279"/>
      <c r="I200" s="279"/>
      <c r="J200" s="279"/>
      <c r="K200" s="279"/>
      <c r="L200" s="279"/>
    </row>
    <row r="201" spans="7:12" s="235" customFormat="1">
      <c r="G201" s="279"/>
      <c r="H201" s="279"/>
      <c r="I201" s="279"/>
      <c r="J201" s="279"/>
      <c r="K201" s="279"/>
      <c r="L201" s="279"/>
    </row>
    <row r="202" spans="7:12" s="235" customFormat="1">
      <c r="G202" s="279"/>
      <c r="H202" s="279"/>
      <c r="I202" s="279"/>
      <c r="J202" s="279"/>
      <c r="K202" s="279"/>
      <c r="L202" s="279"/>
    </row>
    <row r="203" spans="7:12" s="235" customFormat="1">
      <c r="G203" s="279"/>
      <c r="H203" s="279"/>
      <c r="I203" s="279"/>
      <c r="J203" s="279"/>
      <c r="K203" s="279"/>
      <c r="L203" s="279"/>
    </row>
    <row r="204" spans="7:12" s="235" customFormat="1">
      <c r="G204" s="279"/>
      <c r="H204" s="279"/>
      <c r="I204" s="279"/>
      <c r="J204" s="279"/>
      <c r="K204" s="279"/>
      <c r="L204" s="279"/>
    </row>
    <row r="205" spans="7:12" s="235" customFormat="1">
      <c r="G205" s="279"/>
      <c r="H205" s="279"/>
      <c r="I205" s="279"/>
      <c r="J205" s="279"/>
      <c r="K205" s="279"/>
      <c r="L205" s="279"/>
    </row>
    <row r="206" spans="7:12" s="235" customFormat="1">
      <c r="G206" s="279"/>
      <c r="H206" s="279"/>
      <c r="I206" s="279"/>
      <c r="J206" s="279"/>
      <c r="K206" s="279"/>
      <c r="L206" s="279"/>
    </row>
    <row r="207" spans="7:12" s="235" customFormat="1">
      <c r="G207" s="279"/>
      <c r="H207" s="279"/>
      <c r="I207" s="279"/>
      <c r="J207" s="279"/>
      <c r="K207" s="279"/>
      <c r="L207" s="279"/>
    </row>
    <row r="208" spans="7:12" s="235" customFormat="1">
      <c r="G208" s="279"/>
      <c r="H208" s="279"/>
      <c r="I208" s="279"/>
      <c r="J208" s="279"/>
      <c r="K208" s="279"/>
      <c r="L208" s="279"/>
    </row>
    <row r="209" spans="7:12" s="235" customFormat="1">
      <c r="G209" s="279"/>
      <c r="H209" s="279"/>
      <c r="I209" s="279"/>
      <c r="J209" s="279"/>
      <c r="K209" s="279"/>
      <c r="L209" s="279"/>
    </row>
    <row r="210" spans="7:12" s="235" customFormat="1">
      <c r="G210" s="279"/>
      <c r="H210" s="279"/>
      <c r="I210" s="279"/>
      <c r="J210" s="279"/>
      <c r="K210" s="279"/>
      <c r="L210" s="279"/>
    </row>
    <row r="211" spans="7:12" s="235" customFormat="1">
      <c r="G211" s="279"/>
      <c r="H211" s="279"/>
      <c r="I211" s="279"/>
      <c r="J211" s="279"/>
      <c r="K211" s="279"/>
      <c r="L211" s="279"/>
    </row>
    <row r="212" spans="7:12" s="235" customFormat="1">
      <c r="G212" s="279"/>
      <c r="H212" s="279"/>
      <c r="I212" s="279"/>
      <c r="J212" s="279"/>
      <c r="K212" s="279"/>
      <c r="L212" s="279"/>
    </row>
    <row r="213" spans="7:12" s="235" customFormat="1">
      <c r="G213" s="279"/>
      <c r="H213" s="279"/>
      <c r="I213" s="279"/>
      <c r="J213" s="279"/>
      <c r="K213" s="279"/>
      <c r="L213" s="279"/>
    </row>
    <row r="214" spans="7:12" s="235" customFormat="1">
      <c r="G214" s="279"/>
      <c r="H214" s="279"/>
      <c r="I214" s="279"/>
      <c r="J214" s="279"/>
      <c r="K214" s="279"/>
      <c r="L214" s="279"/>
    </row>
    <row r="215" spans="7:12" s="235" customFormat="1">
      <c r="G215" s="279"/>
      <c r="H215" s="279"/>
      <c r="I215" s="279"/>
      <c r="J215" s="279"/>
      <c r="K215" s="279"/>
      <c r="L215" s="279"/>
    </row>
    <row r="216" spans="7:12" s="235" customFormat="1">
      <c r="G216" s="279"/>
      <c r="H216" s="279"/>
      <c r="I216" s="279"/>
      <c r="J216" s="279"/>
      <c r="K216" s="279"/>
      <c r="L216" s="279"/>
    </row>
    <row r="217" spans="7:12" s="235" customFormat="1">
      <c r="G217" s="279"/>
      <c r="H217" s="279"/>
      <c r="I217" s="279"/>
      <c r="J217" s="279"/>
      <c r="K217" s="279"/>
      <c r="L217" s="279"/>
    </row>
    <row r="218" spans="7:12" s="235" customFormat="1">
      <c r="G218" s="279"/>
      <c r="H218" s="279"/>
      <c r="I218" s="279"/>
      <c r="J218" s="279"/>
      <c r="K218" s="279"/>
      <c r="L218" s="279"/>
    </row>
    <row r="219" spans="7:12" s="235" customFormat="1">
      <c r="G219" s="279"/>
      <c r="H219" s="279"/>
      <c r="I219" s="279"/>
      <c r="J219" s="279"/>
      <c r="K219" s="279"/>
      <c r="L219" s="279"/>
    </row>
    <row r="220" spans="7:12" s="235" customFormat="1">
      <c r="G220" s="279"/>
      <c r="H220" s="279"/>
      <c r="I220" s="279"/>
      <c r="J220" s="279"/>
      <c r="K220" s="279"/>
      <c r="L220" s="279"/>
    </row>
    <row r="221" spans="7:12" s="235" customFormat="1">
      <c r="G221" s="279"/>
      <c r="H221" s="279"/>
      <c r="I221" s="279"/>
      <c r="J221" s="279"/>
      <c r="K221" s="279"/>
      <c r="L221" s="279"/>
    </row>
    <row r="222" spans="7:12" s="235" customFormat="1">
      <c r="G222" s="279"/>
      <c r="H222" s="279"/>
      <c r="I222" s="279"/>
      <c r="J222" s="279"/>
      <c r="K222" s="279"/>
      <c r="L222" s="279"/>
    </row>
    <row r="223" spans="7:12" s="235" customFormat="1">
      <c r="G223" s="279"/>
      <c r="H223" s="279"/>
      <c r="I223" s="279"/>
      <c r="J223" s="279"/>
      <c r="K223" s="279"/>
      <c r="L223" s="279"/>
    </row>
  </sheetData>
  <mergeCells count="15">
    <mergeCell ref="E11:E12"/>
    <mergeCell ref="B40:C40"/>
    <mergeCell ref="B2:E2"/>
    <mergeCell ref="B4:E5"/>
    <mergeCell ref="B6:E7"/>
    <mergeCell ref="B30:C30"/>
    <mergeCell ref="C31:E31"/>
    <mergeCell ref="B29:D29"/>
    <mergeCell ref="B8:C8"/>
    <mergeCell ref="D8:E8"/>
    <mergeCell ref="B9:C9"/>
    <mergeCell ref="D9:E9"/>
    <mergeCell ref="B11:B12"/>
    <mergeCell ref="C11:C12"/>
    <mergeCell ref="B10:E10"/>
  </mergeCells>
  <pageMargins left="1.299212598425197" right="0.11811023622047245" top="0.74803149606299213" bottom="0.35433070866141736" header="0.31496062992125984" footer="0.31496062992125984"/>
  <pageSetup paperSize="9" scale="85" orientation="portrait" r:id="rId1"/>
  <legacyDrawing r:id="rId2"/>
  <oleObjects>
    <oleObject progId="Equation.3" shapeId="2049" r:id="rId3"/>
    <oleObject progId="Equation.3" shapeId="2050" r:id="rId4"/>
  </oleObjects>
</worksheet>
</file>

<file path=xl/worksheets/sheet8.xml><?xml version="1.0" encoding="utf-8"?>
<worksheet xmlns="http://schemas.openxmlformats.org/spreadsheetml/2006/main" xmlns:r="http://schemas.openxmlformats.org/officeDocument/2006/relationships">
  <sheetPr>
    <pageSetUpPr fitToPage="1"/>
  </sheetPr>
  <dimension ref="A1:AS1874"/>
  <sheetViews>
    <sheetView topLeftCell="B1" zoomScaleNormal="100" zoomScaleSheetLayoutView="100" workbookViewId="0">
      <selection activeCell="H4" sqref="H4"/>
    </sheetView>
  </sheetViews>
  <sheetFormatPr defaultColWidth="9.140625" defaultRowHeight="15"/>
  <cols>
    <col min="1" max="1" width="2.7109375" style="235" customWidth="1"/>
    <col min="2" max="2" width="21.85546875" style="235" customWidth="1"/>
    <col min="3" max="3" width="40.7109375" customWidth="1"/>
    <col min="4" max="4" width="9.85546875" customWidth="1"/>
    <col min="5" max="5" width="11.140625" customWidth="1"/>
    <col min="6" max="6" width="19" customWidth="1"/>
    <col min="7" max="8" width="16.5703125" customWidth="1"/>
    <col min="9" max="45" width="9.140625" style="235"/>
  </cols>
  <sheetData>
    <row r="1" spans="1:45" s="212" customFormat="1" ht="24.95" customHeight="1">
      <c r="A1" s="303"/>
      <c r="B1" s="714" t="s">
        <v>1888</v>
      </c>
      <c r="C1" s="715"/>
      <c r="D1" s="715"/>
      <c r="E1" s="715"/>
      <c r="F1" s="715"/>
      <c r="G1" s="715"/>
      <c r="H1" s="716"/>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row>
    <row r="2" spans="1:45" ht="15" customHeight="1">
      <c r="B2" s="248"/>
      <c r="C2" s="249"/>
      <c r="D2" s="250"/>
      <c r="E2" s="251"/>
      <c r="F2" s="250"/>
      <c r="G2" s="250"/>
      <c r="H2" s="252"/>
    </row>
    <row r="3" spans="1:45" ht="15" customHeight="1">
      <c r="B3" s="253"/>
      <c r="C3" s="254"/>
      <c r="D3" s="255"/>
      <c r="E3" s="256"/>
      <c r="F3" s="255"/>
      <c r="G3" s="255"/>
      <c r="H3" s="257"/>
    </row>
    <row r="4" spans="1:45" ht="15" customHeight="1">
      <c r="B4" s="616" t="s">
        <v>2232</v>
      </c>
      <c r="C4" s="575"/>
      <c r="D4" s="575"/>
      <c r="E4" s="732"/>
      <c r="F4" s="560" t="s">
        <v>2233</v>
      </c>
      <c r="G4" s="560"/>
      <c r="H4" s="153">
        <f>BDI!E29</f>
        <v>0.2026</v>
      </c>
    </row>
    <row r="5" spans="1:45" ht="15" customHeight="1">
      <c r="B5" s="581" t="s">
        <v>2234</v>
      </c>
      <c r="C5" s="576"/>
      <c r="D5" s="576"/>
      <c r="E5" s="576"/>
      <c r="F5" s="258"/>
      <c r="G5" s="258"/>
      <c r="H5" s="259"/>
    </row>
    <row r="6" spans="1:45">
      <c r="B6" s="581" t="s">
        <v>2235</v>
      </c>
      <c r="C6" s="576"/>
      <c r="D6" s="576"/>
      <c r="E6" s="576"/>
      <c r="F6" s="577"/>
      <c r="G6" s="577"/>
      <c r="H6" s="259"/>
    </row>
    <row r="7" spans="1:45">
      <c r="B7" s="253"/>
      <c r="C7" s="254"/>
      <c r="D7" s="255"/>
      <c r="E7" s="256"/>
      <c r="F7" s="575"/>
      <c r="G7" s="575"/>
      <c r="H7" s="257"/>
    </row>
    <row r="8" spans="1:45">
      <c r="B8" s="581" t="s">
        <v>2778</v>
      </c>
      <c r="C8" s="576"/>
      <c r="D8" s="576"/>
      <c r="E8" s="576"/>
      <c r="F8" s="576"/>
      <c r="G8" s="576"/>
      <c r="H8" s="582"/>
    </row>
    <row r="9" spans="1:45">
      <c r="B9" s="583"/>
      <c r="C9" s="584"/>
      <c r="D9" s="584"/>
      <c r="E9" s="584"/>
      <c r="F9" s="584"/>
      <c r="G9" s="584"/>
      <c r="H9" s="585"/>
    </row>
    <row r="10" spans="1:45">
      <c r="B10" s="260" t="s">
        <v>2774</v>
      </c>
      <c r="C10" s="261" t="s">
        <v>0</v>
      </c>
      <c r="D10" s="261"/>
      <c r="E10" s="262"/>
      <c r="F10" s="255"/>
      <c r="G10" s="255"/>
      <c r="H10" s="529" t="s">
        <v>2906</v>
      </c>
    </row>
    <row r="11" spans="1:45">
      <c r="B11" s="583"/>
      <c r="C11" s="584"/>
      <c r="D11" s="584"/>
      <c r="E11" s="584"/>
      <c r="F11" s="584"/>
      <c r="G11" s="584"/>
      <c r="H11" s="585"/>
    </row>
    <row r="12" spans="1:45" ht="15" customHeight="1">
      <c r="B12" s="260" t="s">
        <v>2775</v>
      </c>
      <c r="C12" s="258" t="s">
        <v>2753</v>
      </c>
      <c r="D12" s="258"/>
      <c r="E12" s="263"/>
      <c r="F12" s="594" t="s">
        <v>2238</v>
      </c>
      <c r="G12" s="594"/>
      <c r="H12" s="595"/>
    </row>
    <row r="13" spans="1:45">
      <c r="B13" s="583"/>
      <c r="C13" s="584"/>
      <c r="D13" s="584"/>
      <c r="E13" s="584"/>
      <c r="F13" s="584"/>
      <c r="G13" s="584"/>
      <c r="H13" s="585"/>
    </row>
    <row r="14" spans="1:45">
      <c r="B14" s="593" t="s">
        <v>2823</v>
      </c>
      <c r="C14" s="594"/>
      <c r="D14" s="594"/>
      <c r="E14" s="594"/>
      <c r="F14" s="594"/>
      <c r="G14" s="594"/>
      <c r="H14" s="595"/>
    </row>
    <row r="15" spans="1:45">
      <c r="B15" s="593" t="s">
        <v>2824</v>
      </c>
      <c r="C15" s="594"/>
      <c r="D15" s="594"/>
      <c r="E15" s="594"/>
      <c r="F15" s="594"/>
      <c r="G15" s="594"/>
      <c r="H15" s="595"/>
    </row>
    <row r="16" spans="1:45" ht="15" customHeight="1">
      <c r="B16" s="593" t="s">
        <v>2903</v>
      </c>
      <c r="C16" s="594"/>
      <c r="D16" s="594"/>
      <c r="E16" s="594"/>
      <c r="F16" s="594"/>
      <c r="G16" s="594"/>
      <c r="H16" s="595"/>
    </row>
    <row r="17" spans="2:9" ht="15" customHeight="1">
      <c r="B17" s="593" t="s">
        <v>2842</v>
      </c>
      <c r="C17" s="594"/>
      <c r="D17" s="594"/>
      <c r="E17" s="594"/>
      <c r="F17" s="594"/>
      <c r="G17" s="594"/>
      <c r="H17" s="595"/>
    </row>
    <row r="18" spans="2:9">
      <c r="B18" s="593" t="s">
        <v>2836</v>
      </c>
      <c r="C18" s="594"/>
      <c r="D18" s="594"/>
      <c r="E18" s="594"/>
      <c r="F18" s="594"/>
      <c r="G18" s="594"/>
      <c r="H18" s="595"/>
      <c r="I18" s="284"/>
    </row>
    <row r="19" spans="2:9" ht="24.95" customHeight="1">
      <c r="B19" s="433" t="s">
        <v>1</v>
      </c>
      <c r="C19" s="264" t="s">
        <v>2</v>
      </c>
      <c r="D19" s="264" t="s">
        <v>3</v>
      </c>
      <c r="E19" s="264" t="s">
        <v>4</v>
      </c>
      <c r="F19" s="265" t="s">
        <v>1226</v>
      </c>
      <c r="G19" s="266" t="s">
        <v>2776</v>
      </c>
      <c r="H19" s="266" t="s">
        <v>2777</v>
      </c>
    </row>
    <row r="20" spans="2:9" ht="25.5" customHeight="1">
      <c r="B20" s="367" t="s">
        <v>1935</v>
      </c>
      <c r="C20" s="118" t="s">
        <v>11</v>
      </c>
      <c r="D20" s="119" t="s">
        <v>12</v>
      </c>
      <c r="E20" s="119" t="s">
        <v>13</v>
      </c>
      <c r="F20" s="120"/>
      <c r="G20" s="121"/>
      <c r="H20" s="122"/>
    </row>
    <row r="21" spans="2:9">
      <c r="B21" s="358">
        <v>88243</v>
      </c>
      <c r="C21" s="93" t="s">
        <v>1936</v>
      </c>
      <c r="D21" s="94" t="s">
        <v>1228</v>
      </c>
      <c r="E21" s="94" t="s">
        <v>1128</v>
      </c>
      <c r="F21" s="123">
        <v>8</v>
      </c>
      <c r="G21" s="359">
        <v>22.5</v>
      </c>
      <c r="H21" s="124">
        <f>F21*G21</f>
        <v>180</v>
      </c>
    </row>
    <row r="22" spans="2:9">
      <c r="B22" s="358">
        <v>90781</v>
      </c>
      <c r="C22" s="93" t="s">
        <v>1229</v>
      </c>
      <c r="D22" s="94" t="s">
        <v>1228</v>
      </c>
      <c r="E22" s="94" t="s">
        <v>1128</v>
      </c>
      <c r="F22" s="123">
        <v>8</v>
      </c>
      <c r="G22" s="359">
        <v>20.65</v>
      </c>
      <c r="H22" s="124">
        <f t="shared" ref="H22:H23" si="0">F22*G22</f>
        <v>165.2</v>
      </c>
    </row>
    <row r="23" spans="2:9">
      <c r="B23" s="358">
        <v>88253</v>
      </c>
      <c r="C23" s="93" t="s">
        <v>1230</v>
      </c>
      <c r="D23" s="94" t="s">
        <v>1228</v>
      </c>
      <c r="E23" s="94" t="s">
        <v>1128</v>
      </c>
      <c r="F23" s="123">
        <v>16</v>
      </c>
      <c r="G23" s="359">
        <v>10.14</v>
      </c>
      <c r="H23" s="124">
        <f t="shared" si="0"/>
        <v>162.24</v>
      </c>
    </row>
    <row r="24" spans="2:9">
      <c r="B24" s="717" t="s">
        <v>1231</v>
      </c>
      <c r="C24" s="718"/>
      <c r="D24" s="718"/>
      <c r="E24" s="718"/>
      <c r="F24" s="718"/>
      <c r="G24" s="719"/>
      <c r="H24" s="125">
        <f>SUM(H21:H23)</f>
        <v>507.44</v>
      </c>
    </row>
    <row r="25" spans="2:9">
      <c r="B25" s="723"/>
      <c r="C25" s="724"/>
      <c r="D25" s="724"/>
      <c r="E25" s="724"/>
      <c r="F25" s="724"/>
      <c r="G25" s="724"/>
      <c r="H25" s="725"/>
    </row>
    <row r="26" spans="2:9" ht="38.25" customHeight="1">
      <c r="B26" s="367" t="s">
        <v>1937</v>
      </c>
      <c r="C26" s="118" t="s">
        <v>52</v>
      </c>
      <c r="D26" s="119" t="s">
        <v>12</v>
      </c>
      <c r="E26" s="119" t="s">
        <v>37</v>
      </c>
      <c r="F26" s="120"/>
      <c r="G26" s="121"/>
      <c r="H26" s="122"/>
    </row>
    <row r="27" spans="2:9">
      <c r="B27" s="358">
        <v>88248</v>
      </c>
      <c r="C27" s="360" t="s">
        <v>1938</v>
      </c>
      <c r="D27" s="361" t="s">
        <v>1228</v>
      </c>
      <c r="E27" s="361" t="s">
        <v>1128</v>
      </c>
      <c r="F27" s="362">
        <v>4</v>
      </c>
      <c r="G27" s="359">
        <v>20.100000000000001</v>
      </c>
      <c r="H27" s="363">
        <f>F27*G27</f>
        <v>80.400000000000006</v>
      </c>
    </row>
    <row r="28" spans="2:9">
      <c r="B28" s="358">
        <v>88261</v>
      </c>
      <c r="C28" s="360" t="s">
        <v>1243</v>
      </c>
      <c r="D28" s="361" t="s">
        <v>1228</v>
      </c>
      <c r="E28" s="361" t="s">
        <v>1128</v>
      </c>
      <c r="F28" s="362">
        <v>8</v>
      </c>
      <c r="G28" s="359">
        <v>24.86</v>
      </c>
      <c r="H28" s="363">
        <f t="shared" ref="H28:H43" si="1">F28*G28</f>
        <v>198.88</v>
      </c>
    </row>
    <row r="29" spans="2:9">
      <c r="B29" s="358">
        <v>88267</v>
      </c>
      <c r="C29" s="360" t="s">
        <v>1244</v>
      </c>
      <c r="D29" s="361" t="s">
        <v>1228</v>
      </c>
      <c r="E29" s="361" t="s">
        <v>1128</v>
      </c>
      <c r="F29" s="362">
        <v>8</v>
      </c>
      <c r="G29" s="359">
        <v>25.58</v>
      </c>
      <c r="H29" s="363">
        <f t="shared" si="1"/>
        <v>204.64</v>
      </c>
    </row>
    <row r="30" spans="2:9">
      <c r="B30" s="358">
        <v>88309</v>
      </c>
      <c r="C30" s="360" t="s">
        <v>1245</v>
      </c>
      <c r="D30" s="361" t="s">
        <v>1228</v>
      </c>
      <c r="E30" s="361" t="s">
        <v>1128</v>
      </c>
      <c r="F30" s="362">
        <v>8</v>
      </c>
      <c r="G30" s="359">
        <v>26.2</v>
      </c>
      <c r="H30" s="363">
        <f t="shared" si="1"/>
        <v>209.6</v>
      </c>
    </row>
    <row r="31" spans="2:9">
      <c r="B31" s="358">
        <v>88316</v>
      </c>
      <c r="C31" s="360" t="s">
        <v>1246</v>
      </c>
      <c r="D31" s="361" t="s">
        <v>1228</v>
      </c>
      <c r="E31" s="361" t="s">
        <v>1128</v>
      </c>
      <c r="F31" s="362">
        <v>8.1199999999999992</v>
      </c>
      <c r="G31" s="359">
        <v>19.39</v>
      </c>
      <c r="H31" s="363">
        <f t="shared" si="1"/>
        <v>157.4468</v>
      </c>
    </row>
    <row r="32" spans="2:9" ht="38.25">
      <c r="B32" s="358">
        <v>1381</v>
      </c>
      <c r="C32" s="360" t="s">
        <v>1247</v>
      </c>
      <c r="D32" s="361" t="s">
        <v>401</v>
      </c>
      <c r="E32" s="361" t="s">
        <v>112</v>
      </c>
      <c r="F32" s="362">
        <v>5</v>
      </c>
      <c r="G32" s="359">
        <v>0.6</v>
      </c>
      <c r="H32" s="363">
        <f t="shared" si="1"/>
        <v>3</v>
      </c>
    </row>
    <row r="33" spans="2:8" ht="25.5">
      <c r="B33" s="358">
        <v>7258</v>
      </c>
      <c r="C33" s="360" t="s">
        <v>1939</v>
      </c>
      <c r="D33" s="361" t="s">
        <v>401</v>
      </c>
      <c r="E33" s="361" t="s">
        <v>37</v>
      </c>
      <c r="F33" s="362">
        <v>3</v>
      </c>
      <c r="G33" s="359">
        <v>0.68</v>
      </c>
      <c r="H33" s="363">
        <f t="shared" si="1"/>
        <v>2.04</v>
      </c>
    </row>
    <row r="34" spans="2:8">
      <c r="B34" s="358">
        <v>4491</v>
      </c>
      <c r="C34" s="360" t="s">
        <v>1248</v>
      </c>
      <c r="D34" s="361" t="s">
        <v>401</v>
      </c>
      <c r="E34" s="361" t="s">
        <v>15</v>
      </c>
      <c r="F34" s="362">
        <v>2.5</v>
      </c>
      <c r="G34" s="359">
        <v>9.0399999999999991</v>
      </c>
      <c r="H34" s="363">
        <f t="shared" si="1"/>
        <v>22.599999999999998</v>
      </c>
    </row>
    <row r="35" spans="2:8">
      <c r="B35" s="358">
        <v>6212</v>
      </c>
      <c r="C35" s="360" t="s">
        <v>1249</v>
      </c>
      <c r="D35" s="361" t="s">
        <v>401</v>
      </c>
      <c r="E35" s="361" t="s">
        <v>15</v>
      </c>
      <c r="F35" s="362">
        <v>8</v>
      </c>
      <c r="G35" s="359">
        <v>15</v>
      </c>
      <c r="H35" s="363">
        <f t="shared" si="1"/>
        <v>120</v>
      </c>
    </row>
    <row r="36" spans="2:8" ht="25.5">
      <c r="B36" s="358">
        <v>34636</v>
      </c>
      <c r="C36" s="360" t="s">
        <v>1250</v>
      </c>
      <c r="D36" s="361" t="s">
        <v>12</v>
      </c>
      <c r="E36" s="361" t="s">
        <v>37</v>
      </c>
      <c r="F36" s="362">
        <v>1</v>
      </c>
      <c r="G36" s="359">
        <v>479.9</v>
      </c>
      <c r="H36" s="363">
        <f t="shared" si="1"/>
        <v>479.9</v>
      </c>
    </row>
    <row r="37" spans="2:8">
      <c r="B37" s="358">
        <v>9868</v>
      </c>
      <c r="C37" s="360" t="s">
        <v>1251</v>
      </c>
      <c r="D37" s="361" t="s">
        <v>401</v>
      </c>
      <c r="E37" s="361" t="s">
        <v>15</v>
      </c>
      <c r="F37" s="362">
        <v>3</v>
      </c>
      <c r="G37" s="359">
        <v>5.0999999999999996</v>
      </c>
      <c r="H37" s="363">
        <f t="shared" si="1"/>
        <v>15.299999999999999</v>
      </c>
    </row>
    <row r="38" spans="2:8">
      <c r="B38" s="358">
        <v>4791</v>
      </c>
      <c r="C38" s="360" t="s">
        <v>1252</v>
      </c>
      <c r="D38" s="361" t="s">
        <v>401</v>
      </c>
      <c r="E38" s="361" t="s">
        <v>112</v>
      </c>
      <c r="F38" s="362" t="s">
        <v>1253</v>
      </c>
      <c r="G38" s="359">
        <v>48.42</v>
      </c>
      <c r="H38" s="363">
        <f t="shared" si="1"/>
        <v>2.4210000000000003</v>
      </c>
    </row>
    <row r="39" spans="2:8" ht="25.5">
      <c r="B39" s="358">
        <v>3148</v>
      </c>
      <c r="C39" s="360" t="s">
        <v>1254</v>
      </c>
      <c r="D39" s="361" t="s">
        <v>401</v>
      </c>
      <c r="E39" s="361" t="s">
        <v>37</v>
      </c>
      <c r="F39" s="362">
        <v>7.2500000000000004E-3</v>
      </c>
      <c r="G39" s="359">
        <v>15.3</v>
      </c>
      <c r="H39" s="363">
        <f t="shared" si="1"/>
        <v>0.11092500000000001</v>
      </c>
    </row>
    <row r="40" spans="2:8">
      <c r="B40" s="358">
        <v>9836</v>
      </c>
      <c r="C40" s="360" t="s">
        <v>1255</v>
      </c>
      <c r="D40" s="361" t="s">
        <v>401</v>
      </c>
      <c r="E40" s="361" t="s">
        <v>15</v>
      </c>
      <c r="F40" s="362">
        <v>5</v>
      </c>
      <c r="G40" s="359">
        <v>18.09</v>
      </c>
      <c r="H40" s="363">
        <f t="shared" si="1"/>
        <v>90.45</v>
      </c>
    </row>
    <row r="41" spans="2:8" ht="38.25">
      <c r="B41" s="358">
        <v>12774</v>
      </c>
      <c r="C41" s="360" t="s">
        <v>1940</v>
      </c>
      <c r="D41" s="361" t="s">
        <v>401</v>
      </c>
      <c r="E41" s="361" t="s">
        <v>37</v>
      </c>
      <c r="F41" s="362">
        <v>1</v>
      </c>
      <c r="G41" s="359">
        <v>119.77</v>
      </c>
      <c r="H41" s="363">
        <f t="shared" si="1"/>
        <v>119.77</v>
      </c>
    </row>
    <row r="42" spans="2:8">
      <c r="B42" s="358">
        <v>10432</v>
      </c>
      <c r="C42" s="360" t="s">
        <v>1941</v>
      </c>
      <c r="D42" s="361" t="s">
        <v>401</v>
      </c>
      <c r="E42" s="361" t="s">
        <v>37</v>
      </c>
      <c r="F42" s="362">
        <v>1</v>
      </c>
      <c r="G42" s="359">
        <v>339.25</v>
      </c>
      <c r="H42" s="363">
        <f t="shared" si="1"/>
        <v>339.25</v>
      </c>
    </row>
    <row r="43" spans="2:8">
      <c r="B43" s="358">
        <v>20247</v>
      </c>
      <c r="C43" s="360" t="s">
        <v>1942</v>
      </c>
      <c r="D43" s="361" t="s">
        <v>401</v>
      </c>
      <c r="E43" s="361" t="s">
        <v>112</v>
      </c>
      <c r="F43" s="362">
        <v>1</v>
      </c>
      <c r="G43" s="359">
        <v>25.12</v>
      </c>
      <c r="H43" s="363">
        <f t="shared" si="1"/>
        <v>25.12</v>
      </c>
    </row>
    <row r="44" spans="2:8">
      <c r="B44" s="699" t="s">
        <v>1231</v>
      </c>
      <c r="C44" s="700"/>
      <c r="D44" s="700"/>
      <c r="E44" s="700"/>
      <c r="F44" s="700"/>
      <c r="G44" s="701"/>
      <c r="H44" s="364">
        <f>SUM(H27:H43)</f>
        <v>2070.9287249999998</v>
      </c>
    </row>
    <row r="45" spans="2:8">
      <c r="B45" s="711"/>
      <c r="C45" s="712"/>
      <c r="D45" s="712"/>
      <c r="E45" s="712"/>
      <c r="F45" s="712"/>
      <c r="G45" s="712"/>
      <c r="H45" s="713"/>
    </row>
    <row r="46" spans="2:8" ht="25.5">
      <c r="B46" s="367" t="s">
        <v>1943</v>
      </c>
      <c r="C46" s="368" t="s">
        <v>53</v>
      </c>
      <c r="D46" s="369" t="s">
        <v>12</v>
      </c>
      <c r="E46" s="369" t="s">
        <v>37</v>
      </c>
      <c r="F46" s="370"/>
      <c r="G46" s="356"/>
      <c r="H46" s="371"/>
    </row>
    <row r="47" spans="2:8">
      <c r="B47" s="358">
        <v>88247</v>
      </c>
      <c r="C47" s="360" t="s">
        <v>1256</v>
      </c>
      <c r="D47" s="361" t="s">
        <v>1228</v>
      </c>
      <c r="E47" s="361" t="s">
        <v>1128</v>
      </c>
      <c r="F47" s="362">
        <v>24</v>
      </c>
      <c r="G47" s="359">
        <v>20.43</v>
      </c>
      <c r="H47" s="363">
        <f>F47*G47</f>
        <v>490.32</v>
      </c>
    </row>
    <row r="48" spans="2:8">
      <c r="B48" s="358">
        <v>88264</v>
      </c>
      <c r="C48" s="360" t="s">
        <v>1257</v>
      </c>
      <c r="D48" s="361" t="s">
        <v>1228</v>
      </c>
      <c r="E48" s="361" t="s">
        <v>1128</v>
      </c>
      <c r="F48" s="362">
        <v>24</v>
      </c>
      <c r="G48" s="359">
        <v>26.47</v>
      </c>
      <c r="H48" s="363">
        <f t="shared" ref="H48:H51" si="2">F48*G48</f>
        <v>635.28</v>
      </c>
    </row>
    <row r="49" spans="2:13" ht="51">
      <c r="B49" s="358">
        <v>14166</v>
      </c>
      <c r="C49" s="360" t="s">
        <v>2815</v>
      </c>
      <c r="D49" s="361" t="s">
        <v>401</v>
      </c>
      <c r="E49" s="361" t="s">
        <v>37</v>
      </c>
      <c r="F49" s="362">
        <v>1</v>
      </c>
      <c r="G49" s="359">
        <v>1516.51</v>
      </c>
      <c r="H49" s="363">
        <f t="shared" si="2"/>
        <v>1516.51</v>
      </c>
      <c r="K49" s="355"/>
    </row>
    <row r="50" spans="2:13" ht="25.5">
      <c r="B50" s="358">
        <v>1008</v>
      </c>
      <c r="C50" s="360" t="s">
        <v>1258</v>
      </c>
      <c r="D50" s="361" t="s">
        <v>401</v>
      </c>
      <c r="E50" s="361" t="s">
        <v>15</v>
      </c>
      <c r="F50" s="362">
        <v>27</v>
      </c>
      <c r="G50" s="359">
        <v>6.55</v>
      </c>
      <c r="H50" s="363">
        <f t="shared" si="2"/>
        <v>176.85</v>
      </c>
      <c r="M50" s="304"/>
    </row>
    <row r="51" spans="2:13" ht="38.25">
      <c r="B51" s="358" t="s">
        <v>1259</v>
      </c>
      <c r="C51" s="360" t="s">
        <v>1260</v>
      </c>
      <c r="D51" s="361" t="s">
        <v>401</v>
      </c>
      <c r="E51" s="361" t="s">
        <v>37</v>
      </c>
      <c r="F51" s="362">
        <v>1</v>
      </c>
      <c r="G51" s="359">
        <f>933.76*1.2173</f>
        <v>1136.666048</v>
      </c>
      <c r="H51" s="363">
        <f t="shared" si="2"/>
        <v>1136.666048</v>
      </c>
    </row>
    <row r="52" spans="2:13">
      <c r="B52" s="717" t="s">
        <v>1231</v>
      </c>
      <c r="C52" s="718"/>
      <c r="D52" s="718"/>
      <c r="E52" s="718"/>
      <c r="F52" s="718"/>
      <c r="G52" s="719"/>
      <c r="H52" s="125">
        <f>SUM(H47:H51)</f>
        <v>3955.6260479999996</v>
      </c>
    </row>
    <row r="53" spans="2:13">
      <c r="B53" s="726"/>
      <c r="C53" s="727"/>
      <c r="D53" s="727"/>
      <c r="E53" s="727"/>
      <c r="F53" s="727"/>
      <c r="G53" s="727"/>
      <c r="H53" s="728"/>
    </row>
    <row r="54" spans="2:13" ht="25.5">
      <c r="B54" s="367" t="s">
        <v>1944</v>
      </c>
      <c r="C54" s="118" t="s">
        <v>54</v>
      </c>
      <c r="D54" s="119" t="s">
        <v>12</v>
      </c>
      <c r="E54" s="119" t="s">
        <v>37</v>
      </c>
      <c r="F54" s="120"/>
      <c r="G54" s="121"/>
      <c r="H54" s="122"/>
    </row>
    <row r="55" spans="2:13">
      <c r="B55" s="358">
        <v>88267</v>
      </c>
      <c r="C55" s="360" t="s">
        <v>1244</v>
      </c>
      <c r="D55" s="361" t="s">
        <v>1228</v>
      </c>
      <c r="E55" s="361" t="s">
        <v>1128</v>
      </c>
      <c r="F55" s="362">
        <v>1.78</v>
      </c>
      <c r="G55" s="359">
        <v>25.58</v>
      </c>
      <c r="H55" s="363">
        <f>F55*G55</f>
        <v>45.532399999999996</v>
      </c>
    </row>
    <row r="56" spans="2:13">
      <c r="B56" s="358">
        <v>88316</v>
      </c>
      <c r="C56" s="360" t="s">
        <v>1246</v>
      </c>
      <c r="D56" s="361" t="s">
        <v>1228</v>
      </c>
      <c r="E56" s="361" t="s">
        <v>1128</v>
      </c>
      <c r="F56" s="362">
        <v>19.3</v>
      </c>
      <c r="G56" s="359">
        <v>19.39</v>
      </c>
      <c r="H56" s="363">
        <f t="shared" ref="H56:H65" si="3">F56*G56</f>
        <v>374.22700000000003</v>
      </c>
    </row>
    <row r="57" spans="2:13">
      <c r="B57" s="358" t="s">
        <v>1261</v>
      </c>
      <c r="C57" s="360" t="s">
        <v>1262</v>
      </c>
      <c r="D57" s="361" t="s">
        <v>401</v>
      </c>
      <c r="E57" s="361" t="s">
        <v>112</v>
      </c>
      <c r="F57" s="362">
        <v>14.3</v>
      </c>
      <c r="G57" s="359">
        <f>9.99*1.2173</f>
        <v>12.160827000000001</v>
      </c>
      <c r="H57" s="363">
        <f t="shared" si="3"/>
        <v>173.89982610000001</v>
      </c>
    </row>
    <row r="58" spans="2:13" ht="25.5">
      <c r="B58" s="358">
        <v>305</v>
      </c>
      <c r="C58" s="360" t="s">
        <v>1263</v>
      </c>
      <c r="D58" s="361" t="s">
        <v>401</v>
      </c>
      <c r="E58" s="361" t="s">
        <v>37</v>
      </c>
      <c r="F58" s="362">
        <v>4</v>
      </c>
      <c r="G58" s="359">
        <v>10.87</v>
      </c>
      <c r="H58" s="363">
        <f t="shared" si="3"/>
        <v>43.48</v>
      </c>
    </row>
    <row r="59" spans="2:13">
      <c r="B59" s="358">
        <v>20078</v>
      </c>
      <c r="C59" s="360" t="s">
        <v>1264</v>
      </c>
      <c r="D59" s="361" t="s">
        <v>401</v>
      </c>
      <c r="E59" s="361" t="s">
        <v>112</v>
      </c>
      <c r="F59" s="362" t="s">
        <v>1265</v>
      </c>
      <c r="G59" s="359">
        <v>30.01</v>
      </c>
      <c r="H59" s="363">
        <f t="shared" si="3"/>
        <v>1.296432</v>
      </c>
    </row>
    <row r="60" spans="2:13">
      <c r="B60" s="358">
        <v>20065</v>
      </c>
      <c r="C60" s="360" t="s">
        <v>1266</v>
      </c>
      <c r="D60" s="361" t="s">
        <v>401</v>
      </c>
      <c r="E60" s="361" t="s">
        <v>15</v>
      </c>
      <c r="F60" s="362">
        <v>12</v>
      </c>
      <c r="G60" s="359">
        <v>46.28</v>
      </c>
      <c r="H60" s="363">
        <f t="shared" si="3"/>
        <v>555.36</v>
      </c>
    </row>
    <row r="61" spans="2:13">
      <c r="B61" s="358">
        <v>13</v>
      </c>
      <c r="C61" s="360" t="s">
        <v>1267</v>
      </c>
      <c r="D61" s="361" t="s">
        <v>401</v>
      </c>
      <c r="E61" s="361" t="s">
        <v>112</v>
      </c>
      <c r="F61" s="362" t="s">
        <v>1268</v>
      </c>
      <c r="G61" s="359">
        <v>15.86</v>
      </c>
      <c r="H61" s="363">
        <f t="shared" si="3"/>
        <v>15.066999999999998</v>
      </c>
    </row>
    <row r="62" spans="2:13" ht="38.25">
      <c r="B62" s="358">
        <v>91533</v>
      </c>
      <c r="C62" s="360" t="s">
        <v>1269</v>
      </c>
      <c r="D62" s="361" t="s">
        <v>1270</v>
      </c>
      <c r="E62" s="361" t="s">
        <v>1271</v>
      </c>
      <c r="F62" s="362" t="s">
        <v>1272</v>
      </c>
      <c r="G62" s="359">
        <v>27.39</v>
      </c>
      <c r="H62" s="363">
        <f t="shared" si="3"/>
        <v>6.8475000000000001</v>
      </c>
    </row>
    <row r="63" spans="2:13" ht="51">
      <c r="B63" s="358">
        <v>5875</v>
      </c>
      <c r="C63" s="360" t="s">
        <v>1273</v>
      </c>
      <c r="D63" s="361" t="s">
        <v>1270</v>
      </c>
      <c r="E63" s="361" t="s">
        <v>1271</v>
      </c>
      <c r="F63" s="362" t="s">
        <v>1274</v>
      </c>
      <c r="G63" s="359">
        <v>132.27000000000001</v>
      </c>
      <c r="H63" s="363">
        <f t="shared" si="3"/>
        <v>10.581600000000002</v>
      </c>
    </row>
    <row r="64" spans="2:13" ht="25.5">
      <c r="B64" s="358">
        <v>67826</v>
      </c>
      <c r="C64" s="360" t="s">
        <v>1945</v>
      </c>
      <c r="D64" s="361" t="s">
        <v>1270</v>
      </c>
      <c r="E64" s="361" t="s">
        <v>1271</v>
      </c>
      <c r="F64" s="362" t="s">
        <v>1275</v>
      </c>
      <c r="G64" s="359">
        <v>168.7</v>
      </c>
      <c r="H64" s="363">
        <f t="shared" si="3"/>
        <v>10.121999999999998</v>
      </c>
    </row>
    <row r="65" spans="2:8" ht="25.5">
      <c r="B65" s="372" t="s">
        <v>1276</v>
      </c>
      <c r="C65" s="373" t="s">
        <v>1277</v>
      </c>
      <c r="D65" s="374" t="s">
        <v>1270</v>
      </c>
      <c r="E65" s="374" t="s">
        <v>1271</v>
      </c>
      <c r="F65" s="375" t="s">
        <v>1278</v>
      </c>
      <c r="G65" s="376">
        <f>93.74*1.2173</f>
        <v>114.109702</v>
      </c>
      <c r="H65" s="363">
        <f t="shared" si="3"/>
        <v>11.410970200000001</v>
      </c>
    </row>
    <row r="66" spans="2:8">
      <c r="B66" s="729" t="s">
        <v>1231</v>
      </c>
      <c r="C66" s="730"/>
      <c r="D66" s="730"/>
      <c r="E66" s="730"/>
      <c r="F66" s="730"/>
      <c r="G66" s="731"/>
      <c r="H66" s="364">
        <f>SUM(H55:H65)</f>
        <v>1247.8247283000003</v>
      </c>
    </row>
    <row r="67" spans="2:8">
      <c r="B67" s="711"/>
      <c r="C67" s="712"/>
      <c r="D67" s="712"/>
      <c r="E67" s="712"/>
      <c r="F67" s="712"/>
      <c r="G67" s="712"/>
      <c r="H67" s="713"/>
    </row>
    <row r="68" spans="2:8" ht="25.5">
      <c r="B68" s="367" t="s">
        <v>1946</v>
      </c>
      <c r="C68" s="368" t="s">
        <v>55</v>
      </c>
      <c r="D68" s="369" t="s">
        <v>12</v>
      </c>
      <c r="E68" s="369" t="s">
        <v>37</v>
      </c>
      <c r="F68" s="370"/>
      <c r="G68" s="356"/>
      <c r="H68" s="371"/>
    </row>
    <row r="69" spans="2:8">
      <c r="B69" s="358">
        <v>88243</v>
      </c>
      <c r="C69" s="360" t="s">
        <v>1227</v>
      </c>
      <c r="D69" s="361" t="s">
        <v>1228</v>
      </c>
      <c r="E69" s="361" t="s">
        <v>1128</v>
      </c>
      <c r="F69" s="362">
        <v>2</v>
      </c>
      <c r="G69" s="359">
        <v>20.5</v>
      </c>
      <c r="H69" s="363">
        <f>F69*G69</f>
        <v>41</v>
      </c>
    </row>
    <row r="70" spans="2:8">
      <c r="B70" s="358">
        <v>88267</v>
      </c>
      <c r="C70" s="360" t="s">
        <v>1244</v>
      </c>
      <c r="D70" s="361" t="s">
        <v>1228</v>
      </c>
      <c r="E70" s="361" t="s">
        <v>1128</v>
      </c>
      <c r="F70" s="362">
        <v>2</v>
      </c>
      <c r="G70" s="359">
        <v>25.58</v>
      </c>
      <c r="H70" s="363">
        <f t="shared" ref="H70:H74" si="4">F70*G70</f>
        <v>51.16</v>
      </c>
    </row>
    <row r="71" spans="2:8">
      <c r="B71" s="358">
        <v>88316</v>
      </c>
      <c r="C71" s="360" t="s">
        <v>1246</v>
      </c>
      <c r="D71" s="361" t="s">
        <v>1228</v>
      </c>
      <c r="E71" s="361" t="s">
        <v>1128</v>
      </c>
      <c r="F71" s="362" t="s">
        <v>1279</v>
      </c>
      <c r="G71" s="359">
        <v>19.39</v>
      </c>
      <c r="H71" s="363">
        <f t="shared" si="4"/>
        <v>9.6950000000000003</v>
      </c>
    </row>
    <row r="72" spans="2:8" ht="25.5">
      <c r="B72" s="358">
        <v>3148</v>
      </c>
      <c r="C72" s="360" t="s">
        <v>1254</v>
      </c>
      <c r="D72" s="361" t="s">
        <v>401</v>
      </c>
      <c r="E72" s="361" t="s">
        <v>37</v>
      </c>
      <c r="F72" s="362">
        <v>3.5680000000000003E-2</v>
      </c>
      <c r="G72" s="359">
        <v>15.3</v>
      </c>
      <c r="H72" s="363">
        <f t="shared" si="4"/>
        <v>0.54590400000000006</v>
      </c>
    </row>
    <row r="73" spans="2:8" ht="38.25">
      <c r="B73" s="358">
        <v>25583</v>
      </c>
      <c r="C73" s="360" t="s">
        <v>1947</v>
      </c>
      <c r="D73" s="361" t="s">
        <v>401</v>
      </c>
      <c r="E73" s="361" t="s">
        <v>15</v>
      </c>
      <c r="F73" s="362">
        <v>1.05</v>
      </c>
      <c r="G73" s="359">
        <f>20.16*1.2173</f>
        <v>24.540768</v>
      </c>
      <c r="H73" s="363">
        <f t="shared" si="4"/>
        <v>25.767806400000001</v>
      </c>
    </row>
    <row r="74" spans="2:8" ht="25.5">
      <c r="B74" s="358">
        <v>95637</v>
      </c>
      <c r="C74" s="360" t="s">
        <v>1948</v>
      </c>
      <c r="D74" s="361" t="s">
        <v>12</v>
      </c>
      <c r="E74" s="361" t="s">
        <v>37</v>
      </c>
      <c r="F74" s="362">
        <v>1</v>
      </c>
      <c r="G74" s="359">
        <v>578.14</v>
      </c>
      <c r="H74" s="363">
        <f t="shared" si="4"/>
        <v>578.14</v>
      </c>
    </row>
    <row r="75" spans="2:8">
      <c r="B75" s="699" t="s">
        <v>1231</v>
      </c>
      <c r="C75" s="700"/>
      <c r="D75" s="700"/>
      <c r="E75" s="700"/>
      <c r="F75" s="700"/>
      <c r="G75" s="701"/>
      <c r="H75" s="364">
        <f>SUM(H69:H74)</f>
        <v>706.3087104</v>
      </c>
    </row>
    <row r="76" spans="2:8">
      <c r="B76" s="720"/>
      <c r="C76" s="721"/>
      <c r="D76" s="721"/>
      <c r="E76" s="721"/>
      <c r="F76" s="721"/>
      <c r="G76" s="721"/>
      <c r="H76" s="722"/>
    </row>
    <row r="77" spans="2:8" ht="51">
      <c r="B77" s="367" t="s">
        <v>1949</v>
      </c>
      <c r="C77" s="368" t="s">
        <v>77</v>
      </c>
      <c r="D77" s="369" t="s">
        <v>12</v>
      </c>
      <c r="E77" s="369" t="s">
        <v>24</v>
      </c>
      <c r="F77" s="370"/>
      <c r="G77" s="356"/>
      <c r="H77" s="371"/>
    </row>
    <row r="78" spans="2:8" ht="63.75">
      <c r="B78" s="358" t="s">
        <v>1294</v>
      </c>
      <c r="C78" s="360" t="s">
        <v>1295</v>
      </c>
      <c r="D78" s="361" t="s">
        <v>12</v>
      </c>
      <c r="E78" s="361" t="s">
        <v>1291</v>
      </c>
      <c r="F78" s="362" t="s">
        <v>1296</v>
      </c>
      <c r="G78" s="359">
        <v>244.65</v>
      </c>
      <c r="H78" s="363">
        <f>F78*G78</f>
        <v>0.73394999999999999</v>
      </c>
    </row>
    <row r="79" spans="2:8" ht="25.5">
      <c r="B79" s="358" t="s">
        <v>1285</v>
      </c>
      <c r="C79" s="360" t="s">
        <v>1286</v>
      </c>
      <c r="D79" s="361" t="s">
        <v>12</v>
      </c>
      <c r="E79" s="361" t="s">
        <v>1128</v>
      </c>
      <c r="F79" s="362" t="s">
        <v>1296</v>
      </c>
      <c r="G79" s="359">
        <v>19.39</v>
      </c>
      <c r="H79" s="363">
        <f>F79*G79</f>
        <v>5.8169999999999999E-2</v>
      </c>
    </row>
    <row r="80" spans="2:8" ht="15" customHeight="1">
      <c r="B80" s="699" t="s">
        <v>1231</v>
      </c>
      <c r="C80" s="700"/>
      <c r="D80" s="700"/>
      <c r="E80" s="700"/>
      <c r="F80" s="700"/>
      <c r="G80" s="701"/>
      <c r="H80" s="364">
        <f>SUM(H78:H79)</f>
        <v>0.79211999999999994</v>
      </c>
    </row>
    <row r="81" spans="2:8">
      <c r="B81" s="702"/>
      <c r="C81" s="703"/>
      <c r="D81" s="703"/>
      <c r="E81" s="703"/>
      <c r="F81" s="703"/>
      <c r="G81" s="703"/>
      <c r="H81" s="704"/>
    </row>
    <row r="82" spans="2:8" ht="25.5">
      <c r="B82" s="367" t="s">
        <v>1950</v>
      </c>
      <c r="C82" s="368" t="s">
        <v>79</v>
      </c>
      <c r="D82" s="369" t="s">
        <v>12</v>
      </c>
      <c r="E82" s="369" t="s">
        <v>75</v>
      </c>
      <c r="F82" s="370"/>
      <c r="G82" s="356"/>
      <c r="H82" s="371"/>
    </row>
    <row r="83" spans="2:8" ht="38.25">
      <c r="B83" s="358" t="s">
        <v>1297</v>
      </c>
      <c r="C83" s="360" t="s">
        <v>1298</v>
      </c>
      <c r="D83" s="361" t="s">
        <v>12</v>
      </c>
      <c r="E83" s="361" t="s">
        <v>1291</v>
      </c>
      <c r="F83" s="362" t="s">
        <v>1299</v>
      </c>
      <c r="G83" s="359">
        <v>260.88</v>
      </c>
      <c r="H83" s="363">
        <f>F83*G83</f>
        <v>7.930752</v>
      </c>
    </row>
    <row r="84" spans="2:8" ht="15" customHeight="1">
      <c r="B84" s="699" t="s">
        <v>1231</v>
      </c>
      <c r="C84" s="700"/>
      <c r="D84" s="700"/>
      <c r="E84" s="700"/>
      <c r="F84" s="700"/>
      <c r="G84" s="701"/>
      <c r="H84" s="364">
        <f>SUM(H83)</f>
        <v>7.930752</v>
      </c>
    </row>
    <row r="85" spans="2:8">
      <c r="B85" s="702"/>
      <c r="C85" s="703"/>
      <c r="D85" s="703"/>
      <c r="E85" s="703"/>
      <c r="F85" s="703"/>
      <c r="G85" s="703"/>
      <c r="H85" s="704"/>
    </row>
    <row r="86" spans="2:8" ht="89.25">
      <c r="B86" s="367" t="s">
        <v>1951</v>
      </c>
      <c r="C86" s="368" t="s">
        <v>97</v>
      </c>
      <c r="D86" s="369" t="s">
        <v>12</v>
      </c>
      <c r="E86" s="369" t="s">
        <v>37</v>
      </c>
      <c r="F86" s="370"/>
      <c r="G86" s="356"/>
      <c r="H86" s="371"/>
    </row>
    <row r="87" spans="2:8" ht="63.75">
      <c r="B87" s="358" t="s">
        <v>1301</v>
      </c>
      <c r="C87" s="360" t="s">
        <v>97</v>
      </c>
      <c r="D87" s="361" t="s">
        <v>1302</v>
      </c>
      <c r="E87" s="361" t="s">
        <v>37</v>
      </c>
      <c r="F87" s="362">
        <v>1</v>
      </c>
      <c r="G87" s="359">
        <f>27417.6*1.2173</f>
        <v>33375.444479999998</v>
      </c>
      <c r="H87" s="363">
        <f>F87*G87</f>
        <v>33375.444479999998</v>
      </c>
    </row>
    <row r="88" spans="2:8">
      <c r="B88" s="699" t="s">
        <v>1231</v>
      </c>
      <c r="C88" s="700"/>
      <c r="D88" s="700"/>
      <c r="E88" s="700"/>
      <c r="F88" s="700"/>
      <c r="G88" s="701"/>
      <c r="H88" s="364">
        <f>SUM(H87)</f>
        <v>33375.444479999998</v>
      </c>
    </row>
    <row r="89" spans="2:8">
      <c r="B89" s="711"/>
      <c r="C89" s="712"/>
      <c r="D89" s="712"/>
      <c r="E89" s="712"/>
      <c r="F89" s="712"/>
      <c r="G89" s="712"/>
      <c r="H89" s="713"/>
    </row>
    <row r="90" spans="2:8" ht="89.25">
      <c r="B90" s="367" t="s">
        <v>1952</v>
      </c>
      <c r="C90" s="368" t="s">
        <v>98</v>
      </c>
      <c r="D90" s="369" t="s">
        <v>12</v>
      </c>
      <c r="E90" s="369" t="s">
        <v>75</v>
      </c>
      <c r="F90" s="370"/>
      <c r="G90" s="356"/>
      <c r="H90" s="371"/>
    </row>
    <row r="91" spans="2:8" ht="76.5">
      <c r="B91" s="358" t="s">
        <v>1303</v>
      </c>
      <c r="C91" s="360" t="s">
        <v>1304</v>
      </c>
      <c r="D91" s="361" t="s">
        <v>12</v>
      </c>
      <c r="E91" s="361" t="s">
        <v>1291</v>
      </c>
      <c r="F91" s="362" t="s">
        <v>1296</v>
      </c>
      <c r="G91" s="359">
        <v>188.11</v>
      </c>
      <c r="H91" s="363">
        <f>F91*G91</f>
        <v>0.56433</v>
      </c>
    </row>
    <row r="92" spans="2:8" ht="63.75">
      <c r="B92" s="358" t="s">
        <v>1305</v>
      </c>
      <c r="C92" s="360" t="s">
        <v>1306</v>
      </c>
      <c r="D92" s="361" t="s">
        <v>12</v>
      </c>
      <c r="E92" s="361" t="s">
        <v>1291</v>
      </c>
      <c r="F92" s="362" t="s">
        <v>1307</v>
      </c>
      <c r="G92" s="359">
        <v>183.1</v>
      </c>
      <c r="H92" s="363">
        <f t="shared" ref="H92:H93" si="5">F92*G92</f>
        <v>1.4647999999999999</v>
      </c>
    </row>
    <row r="93" spans="2:8" ht="25.5">
      <c r="B93" s="358" t="s">
        <v>1285</v>
      </c>
      <c r="C93" s="360" t="s">
        <v>1286</v>
      </c>
      <c r="D93" s="361" t="s">
        <v>12</v>
      </c>
      <c r="E93" s="361" t="s">
        <v>1128</v>
      </c>
      <c r="F93" s="362" t="s">
        <v>1307</v>
      </c>
      <c r="G93" s="359">
        <v>19.39</v>
      </c>
      <c r="H93" s="363">
        <f t="shared" si="5"/>
        <v>0.15512000000000001</v>
      </c>
    </row>
    <row r="94" spans="2:8">
      <c r="B94" s="699" t="s">
        <v>1231</v>
      </c>
      <c r="C94" s="700"/>
      <c r="D94" s="700"/>
      <c r="E94" s="700"/>
      <c r="F94" s="700"/>
      <c r="G94" s="701"/>
      <c r="H94" s="364">
        <f>SUM(H91:H93)</f>
        <v>2.18425</v>
      </c>
    </row>
    <row r="95" spans="2:8">
      <c r="B95" s="702"/>
      <c r="C95" s="703"/>
      <c r="D95" s="703"/>
      <c r="E95" s="703"/>
      <c r="F95" s="703"/>
      <c r="G95" s="703"/>
      <c r="H95" s="704"/>
    </row>
    <row r="96" spans="2:8" ht="76.5">
      <c r="B96" s="367" t="s">
        <v>1953</v>
      </c>
      <c r="C96" s="368" t="s">
        <v>100</v>
      </c>
      <c r="D96" s="369" t="s">
        <v>12</v>
      </c>
      <c r="E96" s="369" t="s">
        <v>15</v>
      </c>
      <c r="F96" s="370"/>
      <c r="G96" s="356"/>
      <c r="H96" s="371"/>
    </row>
    <row r="97" spans="2:8" ht="63.75">
      <c r="B97" s="358">
        <v>38464</v>
      </c>
      <c r="C97" s="360" t="s">
        <v>1308</v>
      </c>
      <c r="D97" s="361" t="s">
        <v>401</v>
      </c>
      <c r="E97" s="361" t="s">
        <v>75</v>
      </c>
      <c r="F97" s="362" t="s">
        <v>1241</v>
      </c>
      <c r="G97" s="359">
        <v>541.91999999999996</v>
      </c>
      <c r="H97" s="363">
        <f>F97*G97</f>
        <v>56.576447999999999</v>
      </c>
    </row>
    <row r="98" spans="2:8" ht="76.5">
      <c r="B98" s="358" t="s">
        <v>2168</v>
      </c>
      <c r="C98" s="360" t="s">
        <v>98</v>
      </c>
      <c r="D98" s="361" t="s">
        <v>12</v>
      </c>
      <c r="E98" s="361" t="s">
        <v>75</v>
      </c>
      <c r="F98" s="362" t="s">
        <v>1309</v>
      </c>
      <c r="G98" s="359">
        <f>H94</f>
        <v>2.18425</v>
      </c>
      <c r="H98" s="363">
        <f t="shared" ref="H98:H103" si="6">F98*G98</f>
        <v>0.19286927500000001</v>
      </c>
    </row>
    <row r="99" spans="2:8" ht="25.5">
      <c r="B99" s="358" t="s">
        <v>1285</v>
      </c>
      <c r="C99" s="360" t="s">
        <v>1286</v>
      </c>
      <c r="D99" s="361" t="s">
        <v>12</v>
      </c>
      <c r="E99" s="361" t="s">
        <v>1128</v>
      </c>
      <c r="F99" s="362" t="s">
        <v>1310</v>
      </c>
      <c r="G99" s="359">
        <v>19.39</v>
      </c>
      <c r="H99" s="363">
        <f t="shared" si="6"/>
        <v>2.4780419999999999</v>
      </c>
    </row>
    <row r="100" spans="2:8" ht="89.25">
      <c r="B100" s="358" t="s">
        <v>1311</v>
      </c>
      <c r="C100" s="360" t="s">
        <v>1312</v>
      </c>
      <c r="D100" s="361" t="s">
        <v>12</v>
      </c>
      <c r="E100" s="361" t="s">
        <v>1291</v>
      </c>
      <c r="F100" s="362" t="s">
        <v>1313</v>
      </c>
      <c r="G100" s="359">
        <v>681.19</v>
      </c>
      <c r="H100" s="363">
        <f t="shared" si="6"/>
        <v>14.373109000000001</v>
      </c>
    </row>
    <row r="101" spans="2:8" ht="89.25">
      <c r="B101" s="358" t="s">
        <v>1314</v>
      </c>
      <c r="C101" s="360" t="s">
        <v>1315</v>
      </c>
      <c r="D101" s="361" t="s">
        <v>12</v>
      </c>
      <c r="E101" s="361" t="s">
        <v>1292</v>
      </c>
      <c r="F101" s="362" t="s">
        <v>1316</v>
      </c>
      <c r="G101" s="359">
        <v>273.61</v>
      </c>
      <c r="H101" s="363">
        <f t="shared" si="6"/>
        <v>5.8826149999999995</v>
      </c>
    </row>
    <row r="102" spans="2:8" ht="51">
      <c r="B102" s="358" t="s">
        <v>1317</v>
      </c>
      <c r="C102" s="360" t="s">
        <v>1318</v>
      </c>
      <c r="D102" s="361" t="s">
        <v>12</v>
      </c>
      <c r="E102" s="361" t="s">
        <v>1128</v>
      </c>
      <c r="F102" s="362" t="s">
        <v>1319</v>
      </c>
      <c r="G102" s="359">
        <v>136.22</v>
      </c>
      <c r="H102" s="363">
        <f t="shared" si="6"/>
        <v>5.8029719999999996</v>
      </c>
    </row>
    <row r="103" spans="2:8" ht="51">
      <c r="B103" s="358" t="s">
        <v>1320</v>
      </c>
      <c r="C103" s="360" t="s">
        <v>1321</v>
      </c>
      <c r="D103" s="361" t="s">
        <v>12</v>
      </c>
      <c r="E103" s="361" t="s">
        <v>108</v>
      </c>
      <c r="F103" s="362" t="s">
        <v>1322</v>
      </c>
      <c r="G103" s="359">
        <v>2.86</v>
      </c>
      <c r="H103" s="363">
        <f t="shared" si="6"/>
        <v>7.5789999999999996E-2</v>
      </c>
    </row>
    <row r="104" spans="2:8">
      <c r="B104" s="699" t="s">
        <v>1231</v>
      </c>
      <c r="C104" s="700"/>
      <c r="D104" s="700"/>
      <c r="E104" s="700"/>
      <c r="F104" s="700"/>
      <c r="G104" s="701"/>
      <c r="H104" s="364">
        <f>SUM(H97:H103)</f>
        <v>85.381845275000003</v>
      </c>
    </row>
    <row r="105" spans="2:8">
      <c r="B105" s="702"/>
      <c r="C105" s="703"/>
      <c r="D105" s="703"/>
      <c r="E105" s="703"/>
      <c r="F105" s="703"/>
      <c r="G105" s="703"/>
      <c r="H105" s="704"/>
    </row>
    <row r="106" spans="2:8" ht="76.5">
      <c r="B106" s="367" t="s">
        <v>1954</v>
      </c>
      <c r="C106" s="368" t="s">
        <v>102</v>
      </c>
      <c r="D106" s="369" t="s">
        <v>12</v>
      </c>
      <c r="E106" s="369" t="s">
        <v>15</v>
      </c>
      <c r="F106" s="370"/>
      <c r="G106" s="356"/>
      <c r="H106" s="371"/>
    </row>
    <row r="107" spans="2:8" ht="63.75">
      <c r="B107" s="358">
        <v>38464</v>
      </c>
      <c r="C107" s="360" t="s">
        <v>1308</v>
      </c>
      <c r="D107" s="361" t="s">
        <v>401</v>
      </c>
      <c r="E107" s="361" t="s">
        <v>75</v>
      </c>
      <c r="F107" s="362" t="s">
        <v>1323</v>
      </c>
      <c r="G107" s="359">
        <v>541.91999999999996</v>
      </c>
      <c r="H107" s="363">
        <f>F107*G107</f>
        <v>88.495535999999987</v>
      </c>
    </row>
    <row r="108" spans="2:8" ht="76.5">
      <c r="B108" s="358" t="s">
        <v>2168</v>
      </c>
      <c r="C108" s="360" t="s">
        <v>98</v>
      </c>
      <c r="D108" s="361" t="s">
        <v>12</v>
      </c>
      <c r="E108" s="361" t="s">
        <v>75</v>
      </c>
      <c r="F108" s="362" t="s">
        <v>1323</v>
      </c>
      <c r="G108" s="359">
        <f>H94</f>
        <v>2.18425</v>
      </c>
      <c r="H108" s="363">
        <f t="shared" ref="H108:H113" si="7">F108*G108</f>
        <v>0.35668802500000002</v>
      </c>
    </row>
    <row r="109" spans="2:8" ht="25.5">
      <c r="B109" s="358" t="s">
        <v>1285</v>
      </c>
      <c r="C109" s="360" t="s">
        <v>1286</v>
      </c>
      <c r="D109" s="361" t="s">
        <v>12</v>
      </c>
      <c r="E109" s="361" t="s">
        <v>1128</v>
      </c>
      <c r="F109" s="362" t="s">
        <v>1324</v>
      </c>
      <c r="G109" s="359">
        <v>19.39</v>
      </c>
      <c r="H109" s="363">
        <f t="shared" si="7"/>
        <v>2.4431400000000001</v>
      </c>
    </row>
    <row r="110" spans="2:8" ht="89.25">
      <c r="B110" s="358" t="s">
        <v>1311</v>
      </c>
      <c r="C110" s="360" t="s">
        <v>1312</v>
      </c>
      <c r="D110" s="361" t="s">
        <v>12</v>
      </c>
      <c r="E110" s="361" t="s">
        <v>1291</v>
      </c>
      <c r="F110" s="362" t="s">
        <v>1325</v>
      </c>
      <c r="G110" s="359">
        <v>681.19</v>
      </c>
      <c r="H110" s="363">
        <f t="shared" si="7"/>
        <v>14.918061000000002</v>
      </c>
    </row>
    <row r="111" spans="2:8" ht="89.25">
      <c r="B111" s="358" t="s">
        <v>1314</v>
      </c>
      <c r="C111" s="360" t="s">
        <v>1315</v>
      </c>
      <c r="D111" s="361" t="s">
        <v>12</v>
      </c>
      <c r="E111" s="361" t="s">
        <v>1292</v>
      </c>
      <c r="F111" s="362" t="s">
        <v>1238</v>
      </c>
      <c r="G111" s="359">
        <v>273.61</v>
      </c>
      <c r="H111" s="363">
        <f t="shared" si="7"/>
        <v>7.1685820000000007</v>
      </c>
    </row>
    <row r="112" spans="2:8" ht="51">
      <c r="B112" s="358" t="s">
        <v>1317</v>
      </c>
      <c r="C112" s="360" t="s">
        <v>1318</v>
      </c>
      <c r="D112" s="361" t="s">
        <v>12</v>
      </c>
      <c r="E112" s="361" t="s">
        <v>1128</v>
      </c>
      <c r="F112" s="362" t="s">
        <v>1326</v>
      </c>
      <c r="G112" s="359">
        <v>136.22</v>
      </c>
      <c r="H112" s="363">
        <f t="shared" si="7"/>
        <v>6.5521819999999993</v>
      </c>
    </row>
    <row r="113" spans="2:8" ht="51">
      <c r="B113" s="358" t="s">
        <v>1320</v>
      </c>
      <c r="C113" s="360" t="s">
        <v>1321</v>
      </c>
      <c r="D113" s="361" t="s">
        <v>12</v>
      </c>
      <c r="E113" s="361" t="s">
        <v>108</v>
      </c>
      <c r="F113" s="362" t="s">
        <v>1327</v>
      </c>
      <c r="G113" s="359">
        <v>2.86</v>
      </c>
      <c r="H113" s="363">
        <f t="shared" si="7"/>
        <v>0.21049599999999999</v>
      </c>
    </row>
    <row r="114" spans="2:8">
      <c r="B114" s="699" t="s">
        <v>1231</v>
      </c>
      <c r="C114" s="700"/>
      <c r="D114" s="700"/>
      <c r="E114" s="700"/>
      <c r="F114" s="700"/>
      <c r="G114" s="701"/>
      <c r="H114" s="364">
        <f>SUM(H107:H113)</f>
        <v>120.144685025</v>
      </c>
    </row>
    <row r="115" spans="2:8">
      <c r="B115" s="702"/>
      <c r="C115" s="703"/>
      <c r="D115" s="703"/>
      <c r="E115" s="703"/>
      <c r="F115" s="703"/>
      <c r="G115" s="703"/>
      <c r="H115" s="704"/>
    </row>
    <row r="116" spans="2:8" ht="76.5">
      <c r="B116" s="367" t="s">
        <v>1955</v>
      </c>
      <c r="C116" s="368" t="s">
        <v>104</v>
      </c>
      <c r="D116" s="369" t="s">
        <v>12</v>
      </c>
      <c r="E116" s="369" t="s">
        <v>15</v>
      </c>
      <c r="F116" s="370"/>
      <c r="G116" s="356"/>
      <c r="H116" s="371"/>
    </row>
    <row r="117" spans="2:8" ht="63.75">
      <c r="B117" s="358">
        <v>38464</v>
      </c>
      <c r="C117" s="360" t="s">
        <v>1308</v>
      </c>
      <c r="D117" s="361" t="s">
        <v>401</v>
      </c>
      <c r="E117" s="361" t="s">
        <v>75</v>
      </c>
      <c r="F117" s="362" t="s">
        <v>1328</v>
      </c>
      <c r="G117" s="359">
        <v>541.91999999999996</v>
      </c>
      <c r="H117" s="363">
        <f>F117*G117</f>
        <v>144.90940800000001</v>
      </c>
    </row>
    <row r="118" spans="2:8" ht="76.5">
      <c r="B118" s="358" t="s">
        <v>2168</v>
      </c>
      <c r="C118" s="360" t="s">
        <v>98</v>
      </c>
      <c r="D118" s="361" t="s">
        <v>12</v>
      </c>
      <c r="E118" s="361" t="s">
        <v>75</v>
      </c>
      <c r="F118" s="362" t="s">
        <v>1329</v>
      </c>
      <c r="G118" s="359">
        <f>H94</f>
        <v>2.18425</v>
      </c>
      <c r="H118" s="363">
        <f t="shared" ref="H118:H123" si="8">F118*G118</f>
        <v>0.53579652499999997</v>
      </c>
    </row>
    <row r="119" spans="2:8" ht="25.5">
      <c r="B119" s="358" t="s">
        <v>1285</v>
      </c>
      <c r="C119" s="360" t="s">
        <v>1286</v>
      </c>
      <c r="D119" s="361" t="s">
        <v>12</v>
      </c>
      <c r="E119" s="361" t="s">
        <v>1128</v>
      </c>
      <c r="F119" s="362" t="s">
        <v>1330</v>
      </c>
      <c r="G119" s="359">
        <v>19.39</v>
      </c>
      <c r="H119" s="363">
        <f t="shared" si="8"/>
        <v>2.7979770000000004</v>
      </c>
    </row>
    <row r="120" spans="2:8" ht="89.25">
      <c r="B120" s="358" t="s">
        <v>1311</v>
      </c>
      <c r="C120" s="360" t="s">
        <v>1312</v>
      </c>
      <c r="D120" s="361" t="s">
        <v>12</v>
      </c>
      <c r="E120" s="361" t="s">
        <v>1291</v>
      </c>
      <c r="F120" s="362" t="s">
        <v>1325</v>
      </c>
      <c r="G120" s="359">
        <v>681.19</v>
      </c>
      <c r="H120" s="363">
        <f t="shared" si="8"/>
        <v>14.918061000000002</v>
      </c>
    </row>
    <row r="121" spans="2:8" ht="89.25">
      <c r="B121" s="358" t="s">
        <v>1314</v>
      </c>
      <c r="C121" s="360" t="s">
        <v>1315</v>
      </c>
      <c r="D121" s="361" t="s">
        <v>12</v>
      </c>
      <c r="E121" s="361" t="s">
        <v>1292</v>
      </c>
      <c r="F121" s="362" t="s">
        <v>1238</v>
      </c>
      <c r="G121" s="359">
        <v>273.61</v>
      </c>
      <c r="H121" s="363">
        <f t="shared" si="8"/>
        <v>7.1685820000000007</v>
      </c>
    </row>
    <row r="122" spans="2:8" ht="51">
      <c r="B122" s="358" t="s">
        <v>1317</v>
      </c>
      <c r="C122" s="360" t="s">
        <v>1318</v>
      </c>
      <c r="D122" s="361" t="s">
        <v>12</v>
      </c>
      <c r="E122" s="361" t="s">
        <v>1128</v>
      </c>
      <c r="F122" s="362" t="s">
        <v>1326</v>
      </c>
      <c r="G122" s="359">
        <v>136.22</v>
      </c>
      <c r="H122" s="363">
        <f t="shared" si="8"/>
        <v>6.5521819999999993</v>
      </c>
    </row>
    <row r="123" spans="2:8" ht="51">
      <c r="B123" s="358" t="s">
        <v>1320</v>
      </c>
      <c r="C123" s="360" t="s">
        <v>1321</v>
      </c>
      <c r="D123" s="361" t="s">
        <v>12</v>
      </c>
      <c r="E123" s="361" t="s">
        <v>108</v>
      </c>
      <c r="F123" s="362" t="s">
        <v>1327</v>
      </c>
      <c r="G123" s="359">
        <v>2.86</v>
      </c>
      <c r="H123" s="363">
        <f t="shared" si="8"/>
        <v>0.21049599999999999</v>
      </c>
    </row>
    <row r="124" spans="2:8">
      <c r="B124" s="699" t="s">
        <v>1231</v>
      </c>
      <c r="C124" s="700"/>
      <c r="D124" s="700"/>
      <c r="E124" s="700"/>
      <c r="F124" s="700"/>
      <c r="G124" s="701"/>
      <c r="H124" s="364">
        <f>SUM(H117:H123)</f>
        <v>177.09250252499999</v>
      </c>
    </row>
    <row r="125" spans="2:8">
      <c r="B125" s="702"/>
      <c r="C125" s="703"/>
      <c r="D125" s="703"/>
      <c r="E125" s="703"/>
      <c r="F125" s="703"/>
      <c r="G125" s="703"/>
      <c r="H125" s="704"/>
    </row>
    <row r="126" spans="2:8" ht="63.75">
      <c r="B126" s="367" t="s">
        <v>1956</v>
      </c>
      <c r="C126" s="368" t="s">
        <v>173</v>
      </c>
      <c r="D126" s="369" t="s">
        <v>12</v>
      </c>
      <c r="E126" s="369" t="s">
        <v>75</v>
      </c>
      <c r="F126" s="370"/>
      <c r="G126" s="356"/>
      <c r="H126" s="371"/>
    </row>
    <row r="127" spans="2:8" ht="63.75">
      <c r="B127" s="358">
        <v>1527</v>
      </c>
      <c r="C127" s="360" t="s">
        <v>1346</v>
      </c>
      <c r="D127" s="361" t="s">
        <v>401</v>
      </c>
      <c r="E127" s="361" t="s">
        <v>75</v>
      </c>
      <c r="F127" s="362">
        <v>1.1499999999999999</v>
      </c>
      <c r="G127" s="359">
        <v>501.24</v>
      </c>
      <c r="H127" s="363">
        <f>F127*G127</f>
        <v>576.42599999999993</v>
      </c>
    </row>
    <row r="128" spans="2:8" ht="25.5">
      <c r="B128" s="358" t="s">
        <v>1337</v>
      </c>
      <c r="C128" s="360" t="s">
        <v>1338</v>
      </c>
      <c r="D128" s="361" t="s">
        <v>12</v>
      </c>
      <c r="E128" s="361" t="s">
        <v>1128</v>
      </c>
      <c r="F128" s="362" t="s">
        <v>1347</v>
      </c>
      <c r="G128" s="359">
        <v>26.2</v>
      </c>
      <c r="H128" s="363">
        <f t="shared" ref="H128:H131" si="9">F128*G128</f>
        <v>9.5106000000000002</v>
      </c>
    </row>
    <row r="129" spans="2:8" ht="25.5">
      <c r="B129" s="358" t="s">
        <v>1285</v>
      </c>
      <c r="C129" s="360" t="s">
        <v>1286</v>
      </c>
      <c r="D129" s="361" t="s">
        <v>12</v>
      </c>
      <c r="E129" s="361" t="s">
        <v>1128</v>
      </c>
      <c r="F129" s="362" t="s">
        <v>1348</v>
      </c>
      <c r="G129" s="359">
        <v>19.39</v>
      </c>
      <c r="H129" s="363">
        <f t="shared" si="9"/>
        <v>10.548160000000001</v>
      </c>
    </row>
    <row r="130" spans="2:8" ht="51">
      <c r="B130" s="358" t="s">
        <v>1349</v>
      </c>
      <c r="C130" s="360" t="s">
        <v>1350</v>
      </c>
      <c r="D130" s="361" t="s">
        <v>12</v>
      </c>
      <c r="E130" s="361" t="s">
        <v>1291</v>
      </c>
      <c r="F130" s="362" t="s">
        <v>1351</v>
      </c>
      <c r="G130" s="359">
        <v>1.24</v>
      </c>
      <c r="H130" s="363">
        <f t="shared" si="9"/>
        <v>0.10911999999999999</v>
      </c>
    </row>
    <row r="131" spans="2:8" ht="51">
      <c r="B131" s="358" t="s">
        <v>1352</v>
      </c>
      <c r="C131" s="360" t="s">
        <v>1353</v>
      </c>
      <c r="D131" s="361" t="s">
        <v>12</v>
      </c>
      <c r="E131" s="361" t="s">
        <v>1292</v>
      </c>
      <c r="F131" s="362" t="s">
        <v>1354</v>
      </c>
      <c r="G131" s="359">
        <v>0.56000000000000005</v>
      </c>
      <c r="H131" s="363">
        <f t="shared" si="9"/>
        <v>5.2080000000000001E-2</v>
      </c>
    </row>
    <row r="132" spans="2:8">
      <c r="B132" s="699" t="s">
        <v>1231</v>
      </c>
      <c r="C132" s="700"/>
      <c r="D132" s="700"/>
      <c r="E132" s="700"/>
      <c r="F132" s="700"/>
      <c r="G132" s="701"/>
      <c r="H132" s="364">
        <f>SUM(H127:H131)</f>
        <v>596.64595999999995</v>
      </c>
    </row>
    <row r="133" spans="2:8">
      <c r="B133" s="705"/>
      <c r="C133" s="706"/>
      <c r="D133" s="706"/>
      <c r="E133" s="706"/>
      <c r="F133" s="706"/>
      <c r="G133" s="706"/>
      <c r="H133" s="707"/>
    </row>
    <row r="134" spans="2:8" ht="89.25">
      <c r="B134" s="367" t="s">
        <v>1957</v>
      </c>
      <c r="C134" s="368" t="s">
        <v>235</v>
      </c>
      <c r="D134" s="369" t="s">
        <v>12</v>
      </c>
      <c r="E134" s="369" t="s">
        <v>75</v>
      </c>
      <c r="F134" s="370"/>
      <c r="G134" s="356"/>
      <c r="H134" s="371"/>
    </row>
    <row r="135" spans="2:8" ht="63.75">
      <c r="B135" s="358">
        <v>1527</v>
      </c>
      <c r="C135" s="360" t="s">
        <v>1346</v>
      </c>
      <c r="D135" s="361" t="s">
        <v>401</v>
      </c>
      <c r="E135" s="361" t="s">
        <v>75</v>
      </c>
      <c r="F135" s="362">
        <v>1.103</v>
      </c>
      <c r="G135" s="359">
        <v>501.24</v>
      </c>
      <c r="H135" s="363">
        <f>F135*G135</f>
        <v>552.86771999999996</v>
      </c>
    </row>
    <row r="136" spans="2:8" ht="25.5">
      <c r="B136" s="358" t="s">
        <v>1236</v>
      </c>
      <c r="C136" s="360" t="s">
        <v>1237</v>
      </c>
      <c r="D136" s="361" t="s">
        <v>12</v>
      </c>
      <c r="E136" s="361" t="s">
        <v>1128</v>
      </c>
      <c r="F136" s="362" t="s">
        <v>1357</v>
      </c>
      <c r="G136" s="359">
        <v>25.93</v>
      </c>
      <c r="H136" s="363">
        <f t="shared" ref="H136:H140" si="10">F136*G136</f>
        <v>2.2040500000000001</v>
      </c>
    </row>
    <row r="137" spans="2:8" ht="25.5">
      <c r="B137" s="358" t="s">
        <v>1337</v>
      </c>
      <c r="C137" s="360" t="s">
        <v>1338</v>
      </c>
      <c r="D137" s="361" t="s">
        <v>12</v>
      </c>
      <c r="E137" s="361" t="s">
        <v>1128</v>
      </c>
      <c r="F137" s="362" t="s">
        <v>1359</v>
      </c>
      <c r="G137" s="359">
        <v>26.2</v>
      </c>
      <c r="H137" s="363">
        <f t="shared" si="10"/>
        <v>13.414400000000001</v>
      </c>
    </row>
    <row r="138" spans="2:8" ht="25.5">
      <c r="B138" s="358" t="s">
        <v>1285</v>
      </c>
      <c r="C138" s="360" t="s">
        <v>1286</v>
      </c>
      <c r="D138" s="361" t="s">
        <v>12</v>
      </c>
      <c r="E138" s="361" t="s">
        <v>1128</v>
      </c>
      <c r="F138" s="362" t="s">
        <v>1360</v>
      </c>
      <c r="G138" s="359">
        <v>19.39</v>
      </c>
      <c r="H138" s="363">
        <f t="shared" si="10"/>
        <v>11.362539999999999</v>
      </c>
    </row>
    <row r="139" spans="2:8" ht="51">
      <c r="B139" s="358" t="s">
        <v>1349</v>
      </c>
      <c r="C139" s="360" t="s">
        <v>1350</v>
      </c>
      <c r="D139" s="361" t="s">
        <v>12</v>
      </c>
      <c r="E139" s="361" t="s">
        <v>1291</v>
      </c>
      <c r="F139" s="362" t="s">
        <v>1335</v>
      </c>
      <c r="G139" s="359">
        <v>1.24</v>
      </c>
      <c r="H139" s="363">
        <f t="shared" si="10"/>
        <v>5.4559999999999997E-2</v>
      </c>
    </row>
    <row r="140" spans="2:8" ht="51">
      <c r="B140" s="358" t="s">
        <v>1352</v>
      </c>
      <c r="C140" s="360" t="s">
        <v>1353</v>
      </c>
      <c r="D140" s="361" t="s">
        <v>12</v>
      </c>
      <c r="E140" s="361" t="s">
        <v>1292</v>
      </c>
      <c r="F140" s="362" t="s">
        <v>1361</v>
      </c>
      <c r="G140" s="359">
        <v>0.56000000000000005</v>
      </c>
      <c r="H140" s="363">
        <f t="shared" si="10"/>
        <v>7.1120000000000003E-2</v>
      </c>
    </row>
    <row r="141" spans="2:8">
      <c r="B141" s="699" t="s">
        <v>1231</v>
      </c>
      <c r="C141" s="700"/>
      <c r="D141" s="700"/>
      <c r="E141" s="700"/>
      <c r="F141" s="700"/>
      <c r="G141" s="701"/>
      <c r="H141" s="364">
        <f>SUM(H135:H140)</f>
        <v>579.97438999999997</v>
      </c>
    </row>
    <row r="142" spans="2:8">
      <c r="B142" s="708"/>
      <c r="C142" s="709"/>
      <c r="D142" s="709"/>
      <c r="E142" s="709"/>
      <c r="F142" s="709"/>
      <c r="G142" s="709"/>
      <c r="H142" s="710"/>
    </row>
    <row r="143" spans="2:8" ht="51">
      <c r="B143" s="367" t="s">
        <v>1958</v>
      </c>
      <c r="C143" s="368" t="s">
        <v>254</v>
      </c>
      <c r="D143" s="369" t="s">
        <v>12</v>
      </c>
      <c r="E143" s="369" t="s">
        <v>24</v>
      </c>
      <c r="F143" s="370"/>
      <c r="G143" s="356"/>
      <c r="H143" s="371"/>
    </row>
    <row r="144" spans="2:8">
      <c r="B144" s="358">
        <v>88278</v>
      </c>
      <c r="C144" s="360" t="s">
        <v>1362</v>
      </c>
      <c r="D144" s="361" t="s">
        <v>1228</v>
      </c>
      <c r="E144" s="361" t="s">
        <v>1128</v>
      </c>
      <c r="F144" s="362" t="s">
        <v>1363</v>
      </c>
      <c r="G144" s="359">
        <v>19.93</v>
      </c>
      <c r="H144" s="363">
        <f>F144*G144</f>
        <v>3.9860000000000002</v>
      </c>
    </row>
    <row r="145" spans="2:9">
      <c r="B145" s="358">
        <v>88309</v>
      </c>
      <c r="C145" s="360" t="s">
        <v>1245</v>
      </c>
      <c r="D145" s="361" t="s">
        <v>1228</v>
      </c>
      <c r="E145" s="361" t="s">
        <v>1128</v>
      </c>
      <c r="F145" s="362" t="s">
        <v>1364</v>
      </c>
      <c r="G145" s="359">
        <v>26.2</v>
      </c>
      <c r="H145" s="363">
        <f t="shared" ref="H145:H149" si="11">F145*G145</f>
        <v>23.58</v>
      </c>
    </row>
    <row r="146" spans="2:9">
      <c r="B146" s="358">
        <v>88316</v>
      </c>
      <c r="C146" s="360" t="s">
        <v>1246</v>
      </c>
      <c r="D146" s="361" t="s">
        <v>1228</v>
      </c>
      <c r="E146" s="361" t="s">
        <v>1128</v>
      </c>
      <c r="F146" s="362" t="s">
        <v>1365</v>
      </c>
      <c r="G146" s="359">
        <v>19.39</v>
      </c>
      <c r="H146" s="363">
        <f t="shared" si="11"/>
        <v>17.063200000000002</v>
      </c>
    </row>
    <row r="147" spans="2:9" ht="25.5">
      <c r="B147" s="358">
        <v>34493</v>
      </c>
      <c r="C147" s="360" t="s">
        <v>1959</v>
      </c>
      <c r="D147" s="361" t="s">
        <v>401</v>
      </c>
      <c r="E147" s="361" t="s">
        <v>75</v>
      </c>
      <c r="F147" s="362" t="s">
        <v>1367</v>
      </c>
      <c r="G147" s="359">
        <v>462.68</v>
      </c>
      <c r="H147" s="363">
        <f t="shared" si="11"/>
        <v>75.416840000000008</v>
      </c>
    </row>
    <row r="148" spans="2:9" ht="25.5">
      <c r="B148" s="358">
        <v>21141</v>
      </c>
      <c r="C148" s="360" t="s">
        <v>1960</v>
      </c>
      <c r="D148" s="361" t="s">
        <v>401</v>
      </c>
      <c r="E148" s="361" t="s">
        <v>112</v>
      </c>
      <c r="F148" s="362">
        <v>1.05</v>
      </c>
      <c r="G148" s="359">
        <v>17.37</v>
      </c>
      <c r="H148" s="363">
        <f t="shared" si="11"/>
        <v>18.238500000000002</v>
      </c>
    </row>
    <row r="149" spans="2:9" ht="63.75">
      <c r="B149" s="358">
        <v>43124</v>
      </c>
      <c r="C149" s="360" t="s">
        <v>2839</v>
      </c>
      <c r="D149" s="361" t="s">
        <v>401</v>
      </c>
      <c r="E149" s="361" t="s">
        <v>24</v>
      </c>
      <c r="F149" s="362">
        <v>1</v>
      </c>
      <c r="G149" s="359">
        <v>146.69999999999999</v>
      </c>
      <c r="H149" s="363">
        <f t="shared" si="11"/>
        <v>146.69999999999999</v>
      </c>
    </row>
    <row r="150" spans="2:9">
      <c r="B150" s="699" t="s">
        <v>1231</v>
      </c>
      <c r="C150" s="700"/>
      <c r="D150" s="700"/>
      <c r="E150" s="700"/>
      <c r="F150" s="700"/>
      <c r="G150" s="701"/>
      <c r="H150" s="364">
        <f>SUM(H144:H149)</f>
        <v>284.98453999999998</v>
      </c>
      <c r="I150" s="304"/>
    </row>
    <row r="151" spans="2:9">
      <c r="B151" s="702"/>
      <c r="C151" s="703"/>
      <c r="D151" s="703"/>
      <c r="E151" s="703"/>
      <c r="F151" s="703"/>
      <c r="G151" s="703"/>
      <c r="H151" s="704"/>
    </row>
    <row r="152" spans="2:9" ht="51">
      <c r="B152" s="367" t="s">
        <v>1961</v>
      </c>
      <c r="C152" s="368" t="s">
        <v>1801</v>
      </c>
      <c r="D152" s="369" t="s">
        <v>12</v>
      </c>
      <c r="E152" s="369" t="s">
        <v>24</v>
      </c>
      <c r="F152" s="370"/>
      <c r="G152" s="356"/>
      <c r="H152" s="371"/>
    </row>
    <row r="153" spans="2:9">
      <c r="B153" s="358">
        <v>88278</v>
      </c>
      <c r="C153" s="360" t="s">
        <v>1362</v>
      </c>
      <c r="D153" s="361" t="s">
        <v>1228</v>
      </c>
      <c r="E153" s="361" t="s">
        <v>1128</v>
      </c>
      <c r="F153" s="362" t="s">
        <v>1363</v>
      </c>
      <c r="G153" s="359">
        <v>19.93</v>
      </c>
      <c r="H153" s="363">
        <f>F153*G153</f>
        <v>3.9860000000000002</v>
      </c>
    </row>
    <row r="154" spans="2:9">
      <c r="B154" s="358">
        <v>88309</v>
      </c>
      <c r="C154" s="360" t="s">
        <v>1245</v>
      </c>
      <c r="D154" s="361" t="s">
        <v>1228</v>
      </c>
      <c r="E154" s="361" t="s">
        <v>1128</v>
      </c>
      <c r="F154" s="362">
        <v>0.73</v>
      </c>
      <c r="G154" s="359">
        <v>26.2</v>
      </c>
      <c r="H154" s="363">
        <f t="shared" ref="H154:H158" si="12">F154*G154</f>
        <v>19.125999999999998</v>
      </c>
    </row>
    <row r="155" spans="2:9">
      <c r="B155" s="358">
        <v>88316</v>
      </c>
      <c r="C155" s="360" t="s">
        <v>1246</v>
      </c>
      <c r="D155" s="361" t="s">
        <v>1228</v>
      </c>
      <c r="E155" s="361" t="s">
        <v>1128</v>
      </c>
      <c r="F155" s="362" t="s">
        <v>1365</v>
      </c>
      <c r="G155" s="359">
        <v>19.39</v>
      </c>
      <c r="H155" s="363">
        <f t="shared" si="12"/>
        <v>17.063200000000002</v>
      </c>
    </row>
    <row r="156" spans="2:9">
      <c r="B156" s="358">
        <v>34493</v>
      </c>
      <c r="C156" s="360" t="s">
        <v>1366</v>
      </c>
      <c r="D156" s="361" t="s">
        <v>401</v>
      </c>
      <c r="E156" s="361" t="s">
        <v>75</v>
      </c>
      <c r="F156" s="362">
        <v>0.113</v>
      </c>
      <c r="G156" s="359">
        <v>462.68</v>
      </c>
      <c r="H156" s="363">
        <f t="shared" si="12"/>
        <v>52.28284</v>
      </c>
    </row>
    <row r="157" spans="2:9" ht="25.5">
      <c r="B157" s="358">
        <v>21141</v>
      </c>
      <c r="C157" s="360" t="s">
        <v>1960</v>
      </c>
      <c r="D157" s="361" t="s">
        <v>401</v>
      </c>
      <c r="E157" s="361" t="s">
        <v>112</v>
      </c>
      <c r="F157" s="362">
        <v>1.05</v>
      </c>
      <c r="G157" s="359">
        <v>17.37</v>
      </c>
      <c r="H157" s="363">
        <f t="shared" si="12"/>
        <v>18.238500000000002</v>
      </c>
    </row>
    <row r="158" spans="2:9" ht="15" customHeight="1">
      <c r="B158" s="358">
        <v>43124</v>
      </c>
      <c r="C158" s="360" t="s">
        <v>2839</v>
      </c>
      <c r="D158" s="361" t="s">
        <v>401</v>
      </c>
      <c r="E158" s="361" t="s">
        <v>24</v>
      </c>
      <c r="F158" s="362">
        <v>1</v>
      </c>
      <c r="G158" s="359">
        <v>146.69999999999999</v>
      </c>
      <c r="H158" s="363">
        <f t="shared" si="12"/>
        <v>146.69999999999999</v>
      </c>
    </row>
    <row r="159" spans="2:9">
      <c r="B159" s="699" t="s">
        <v>1231</v>
      </c>
      <c r="C159" s="700"/>
      <c r="D159" s="700"/>
      <c r="E159" s="700"/>
      <c r="F159" s="700"/>
      <c r="G159" s="701"/>
      <c r="H159" s="364">
        <f>SUM(H153:H158)</f>
        <v>257.39654000000002</v>
      </c>
    </row>
    <row r="160" spans="2:9">
      <c r="B160" s="702"/>
      <c r="C160" s="703"/>
      <c r="D160" s="703"/>
      <c r="E160" s="703"/>
      <c r="F160" s="703"/>
      <c r="G160" s="703"/>
      <c r="H160" s="704"/>
    </row>
    <row r="161" spans="2:8" ht="63.75">
      <c r="B161" s="367" t="s">
        <v>1962</v>
      </c>
      <c r="C161" s="368" t="s">
        <v>288</v>
      </c>
      <c r="D161" s="369" t="s">
        <v>12</v>
      </c>
      <c r="E161" s="369" t="s">
        <v>75</v>
      </c>
      <c r="F161" s="370"/>
      <c r="G161" s="356"/>
      <c r="H161" s="371"/>
    </row>
    <row r="162" spans="2:8" ht="63.75">
      <c r="B162" s="358">
        <v>34493</v>
      </c>
      <c r="C162" s="360" t="s">
        <v>1371</v>
      </c>
      <c r="D162" s="361" t="s">
        <v>401</v>
      </c>
      <c r="E162" s="361" t="s">
        <v>75</v>
      </c>
      <c r="F162" s="362">
        <v>1.103</v>
      </c>
      <c r="G162" s="359">
        <v>462.68</v>
      </c>
      <c r="H162" s="363">
        <f>F162*G162</f>
        <v>510.33604000000003</v>
      </c>
    </row>
    <row r="163" spans="2:8" ht="25.5">
      <c r="B163" s="358" t="s">
        <v>1337</v>
      </c>
      <c r="C163" s="360" t="s">
        <v>1338</v>
      </c>
      <c r="D163" s="361" t="s">
        <v>12</v>
      </c>
      <c r="E163" s="361" t="s">
        <v>1128</v>
      </c>
      <c r="F163" s="362">
        <v>1.0844</v>
      </c>
      <c r="G163" s="359">
        <v>26.2</v>
      </c>
      <c r="H163" s="363">
        <f t="shared" ref="H163:H165" si="13">F163*G163</f>
        <v>28.411280000000001</v>
      </c>
    </row>
    <row r="164" spans="2:8" ht="51">
      <c r="B164" s="358" t="s">
        <v>1349</v>
      </c>
      <c r="C164" s="360" t="s">
        <v>1350</v>
      </c>
      <c r="D164" s="361" t="s">
        <v>12</v>
      </c>
      <c r="E164" s="361" t="s">
        <v>1291</v>
      </c>
      <c r="F164" s="362" t="s">
        <v>1369</v>
      </c>
      <c r="G164" s="359">
        <v>1.24</v>
      </c>
      <c r="H164" s="363">
        <f t="shared" si="13"/>
        <v>0.15128</v>
      </c>
    </row>
    <row r="165" spans="2:8" ht="51">
      <c r="B165" s="358" t="s">
        <v>1352</v>
      </c>
      <c r="C165" s="360" t="s">
        <v>1353</v>
      </c>
      <c r="D165" s="361" t="s">
        <v>12</v>
      </c>
      <c r="E165" s="361" t="s">
        <v>1292</v>
      </c>
      <c r="F165" s="362" t="s">
        <v>1370</v>
      </c>
      <c r="G165" s="359">
        <v>0.56000000000000005</v>
      </c>
      <c r="H165" s="363">
        <f t="shared" si="13"/>
        <v>8.3496000000000015E-2</v>
      </c>
    </row>
    <row r="166" spans="2:8">
      <c r="B166" s="699" t="s">
        <v>1231</v>
      </c>
      <c r="C166" s="700"/>
      <c r="D166" s="700"/>
      <c r="E166" s="700"/>
      <c r="F166" s="700"/>
      <c r="G166" s="701"/>
      <c r="H166" s="364">
        <f>SUM(H162:H165)</f>
        <v>538.98209600000007</v>
      </c>
    </row>
    <row r="167" spans="2:8">
      <c r="B167" s="702"/>
      <c r="C167" s="703"/>
      <c r="D167" s="703"/>
      <c r="E167" s="703"/>
      <c r="F167" s="703"/>
      <c r="G167" s="703"/>
      <c r="H167" s="704"/>
    </row>
    <row r="168" spans="2:8" ht="25.5">
      <c r="B168" s="367" t="s">
        <v>1963</v>
      </c>
      <c r="C168" s="368" t="s">
        <v>320</v>
      </c>
      <c r="D168" s="369" t="s">
        <v>12</v>
      </c>
      <c r="E168" s="369" t="s">
        <v>24</v>
      </c>
      <c r="F168" s="370"/>
      <c r="G168" s="356"/>
      <c r="H168" s="371"/>
    </row>
    <row r="169" spans="2:8" ht="51">
      <c r="B169" s="358">
        <v>11615</v>
      </c>
      <c r="C169" s="360" t="s">
        <v>1379</v>
      </c>
      <c r="D169" s="361" t="s">
        <v>401</v>
      </c>
      <c r="E169" s="361" t="s">
        <v>24</v>
      </c>
      <c r="F169" s="362">
        <v>1.05</v>
      </c>
      <c r="G169" s="359">
        <v>3.55</v>
      </c>
      <c r="H169" s="363">
        <f>F169*G169</f>
        <v>3.7275</v>
      </c>
    </row>
    <row r="170" spans="2:8">
      <c r="B170" s="358">
        <v>44396</v>
      </c>
      <c r="C170" s="360" t="s">
        <v>1380</v>
      </c>
      <c r="D170" s="361" t="s">
        <v>401</v>
      </c>
      <c r="E170" s="361" t="s">
        <v>112</v>
      </c>
      <c r="F170" s="362">
        <v>0.32419999999999999</v>
      </c>
      <c r="G170" s="359">
        <v>43.77</v>
      </c>
      <c r="H170" s="363">
        <f t="shared" ref="H170:H173" si="14">F170*G170</f>
        <v>14.190234</v>
      </c>
    </row>
    <row r="171" spans="2:8" ht="25.5">
      <c r="B171" s="358">
        <v>3767</v>
      </c>
      <c r="C171" s="360" t="s">
        <v>1381</v>
      </c>
      <c r="D171" s="361" t="s">
        <v>401</v>
      </c>
      <c r="E171" s="361" t="s">
        <v>37</v>
      </c>
      <c r="F171" s="362" t="s">
        <v>1278</v>
      </c>
      <c r="G171" s="359">
        <v>1.42</v>
      </c>
      <c r="H171" s="363">
        <f t="shared" si="14"/>
        <v>0.14199999999999999</v>
      </c>
    </row>
    <row r="172" spans="2:8" ht="25.5">
      <c r="B172" s="358" t="s">
        <v>1382</v>
      </c>
      <c r="C172" s="360" t="s">
        <v>1383</v>
      </c>
      <c r="D172" s="361" t="s">
        <v>12</v>
      </c>
      <c r="E172" s="361" t="s">
        <v>1128</v>
      </c>
      <c r="F172" s="362" t="s">
        <v>1384</v>
      </c>
      <c r="G172" s="359">
        <v>27.25</v>
      </c>
      <c r="H172" s="363">
        <f t="shared" si="14"/>
        <v>1.5341750000000001</v>
      </c>
    </row>
    <row r="173" spans="2:8" ht="25.5">
      <c r="B173" s="358" t="s">
        <v>1285</v>
      </c>
      <c r="C173" s="360" t="s">
        <v>1286</v>
      </c>
      <c r="D173" s="361" t="s">
        <v>12</v>
      </c>
      <c r="E173" s="361" t="s">
        <v>1128</v>
      </c>
      <c r="F173" s="362" t="s">
        <v>1385</v>
      </c>
      <c r="G173" s="359">
        <v>19.39</v>
      </c>
      <c r="H173" s="363">
        <f t="shared" si="14"/>
        <v>1.0819620000000001</v>
      </c>
    </row>
    <row r="174" spans="2:8">
      <c r="B174" s="699" t="s">
        <v>1231</v>
      </c>
      <c r="C174" s="700"/>
      <c r="D174" s="700"/>
      <c r="E174" s="700"/>
      <c r="F174" s="700"/>
      <c r="G174" s="701"/>
      <c r="H174" s="364">
        <f>SUM(H169:H173)</f>
        <v>20.675871000000001</v>
      </c>
    </row>
    <row r="175" spans="2:8">
      <c r="B175" s="702"/>
      <c r="C175" s="703"/>
      <c r="D175" s="703"/>
      <c r="E175" s="703"/>
      <c r="F175" s="703"/>
      <c r="G175" s="703"/>
      <c r="H175" s="704"/>
    </row>
    <row r="176" spans="2:8" ht="25.5">
      <c r="B176" s="367" t="s">
        <v>1964</v>
      </c>
      <c r="C176" s="368" t="s">
        <v>322</v>
      </c>
      <c r="D176" s="369" t="s">
        <v>12</v>
      </c>
      <c r="E176" s="369" t="s">
        <v>15</v>
      </c>
      <c r="F176" s="370"/>
      <c r="G176" s="356"/>
      <c r="H176" s="371"/>
    </row>
    <row r="177" spans="2:8" ht="38.25">
      <c r="B177" s="358">
        <v>3681</v>
      </c>
      <c r="C177" s="360" t="s">
        <v>1386</v>
      </c>
      <c r="D177" s="361" t="s">
        <v>401</v>
      </c>
      <c r="E177" s="361" t="s">
        <v>15</v>
      </c>
      <c r="F177" s="362">
        <v>1.05</v>
      </c>
      <c r="G177" s="359">
        <v>149.75</v>
      </c>
      <c r="H177" s="363">
        <f>F177*G177</f>
        <v>157.23750000000001</v>
      </c>
    </row>
    <row r="178" spans="2:8" ht="25.5">
      <c r="B178" s="358" t="s">
        <v>1332</v>
      </c>
      <c r="C178" s="360" t="s">
        <v>1333</v>
      </c>
      <c r="D178" s="361" t="s">
        <v>12</v>
      </c>
      <c r="E178" s="361" t="s">
        <v>1128</v>
      </c>
      <c r="F178" s="362" t="s">
        <v>1387</v>
      </c>
      <c r="G178" s="359">
        <v>26.05</v>
      </c>
      <c r="H178" s="363">
        <f t="shared" ref="H178:H179" si="15">F178*G178</f>
        <v>3.1259999999999999</v>
      </c>
    </row>
    <row r="179" spans="2:8" ht="25.5">
      <c r="B179" s="358" t="s">
        <v>1285</v>
      </c>
      <c r="C179" s="360" t="s">
        <v>1286</v>
      </c>
      <c r="D179" s="361" t="s">
        <v>12</v>
      </c>
      <c r="E179" s="361" t="s">
        <v>1128</v>
      </c>
      <c r="F179" s="362" t="s">
        <v>1387</v>
      </c>
      <c r="G179" s="359">
        <v>19.39</v>
      </c>
      <c r="H179" s="363">
        <f t="shared" si="15"/>
        <v>2.3268</v>
      </c>
    </row>
    <row r="180" spans="2:8">
      <c r="B180" s="699" t="s">
        <v>1231</v>
      </c>
      <c r="C180" s="700"/>
      <c r="D180" s="700"/>
      <c r="E180" s="700"/>
      <c r="F180" s="700"/>
      <c r="G180" s="701"/>
      <c r="H180" s="364">
        <f>SUM(H177:H179)</f>
        <v>162.69030000000001</v>
      </c>
    </row>
    <row r="181" spans="2:8">
      <c r="B181" s="702"/>
      <c r="C181" s="703"/>
      <c r="D181" s="703"/>
      <c r="E181" s="703"/>
      <c r="F181" s="703"/>
      <c r="G181" s="703"/>
      <c r="H181" s="704"/>
    </row>
    <row r="182" spans="2:8" ht="25.5">
      <c r="B182" s="367" t="s">
        <v>1965</v>
      </c>
      <c r="C182" s="368" t="s">
        <v>1966</v>
      </c>
      <c r="D182" s="369" t="s">
        <v>12</v>
      </c>
      <c r="E182" s="369" t="s">
        <v>112</v>
      </c>
      <c r="F182" s="370"/>
      <c r="G182" s="356"/>
      <c r="H182" s="371"/>
    </row>
    <row r="183" spans="2:8" ht="25.5">
      <c r="B183" s="358">
        <v>4766</v>
      </c>
      <c r="C183" s="360" t="s">
        <v>1803</v>
      </c>
      <c r="D183" s="361" t="s">
        <v>401</v>
      </c>
      <c r="E183" s="361" t="s">
        <v>112</v>
      </c>
      <c r="F183" s="362">
        <v>1.05</v>
      </c>
      <c r="G183" s="359">
        <v>11.85</v>
      </c>
      <c r="H183" s="363">
        <f>F183*G183</f>
        <v>12.442500000000001</v>
      </c>
    </row>
    <row r="184" spans="2:8" ht="25.5">
      <c r="B184" s="358" t="s">
        <v>1388</v>
      </c>
      <c r="C184" s="360" t="s">
        <v>1389</v>
      </c>
      <c r="D184" s="361" t="s">
        <v>12</v>
      </c>
      <c r="E184" s="361" t="s">
        <v>1128</v>
      </c>
      <c r="F184" s="362">
        <v>0.06</v>
      </c>
      <c r="G184" s="359">
        <v>26.05</v>
      </c>
      <c r="H184" s="363">
        <f t="shared" ref="H184:H186" si="16">F184*G184</f>
        <v>1.5629999999999999</v>
      </c>
    </row>
    <row r="185" spans="2:8" ht="25.5">
      <c r="B185" s="358" t="s">
        <v>1285</v>
      </c>
      <c r="C185" s="360" t="s">
        <v>1286</v>
      </c>
      <c r="D185" s="361" t="s">
        <v>12</v>
      </c>
      <c r="E185" s="361" t="s">
        <v>1128</v>
      </c>
      <c r="F185" s="362">
        <v>0.06</v>
      </c>
      <c r="G185" s="359">
        <v>19.39</v>
      </c>
      <c r="H185" s="363">
        <f t="shared" si="16"/>
        <v>1.1634</v>
      </c>
    </row>
    <row r="186" spans="2:8" ht="51">
      <c r="B186" s="358" t="s">
        <v>1390</v>
      </c>
      <c r="C186" s="360" t="s">
        <v>1391</v>
      </c>
      <c r="D186" s="361" t="s">
        <v>12</v>
      </c>
      <c r="E186" s="361" t="s">
        <v>15</v>
      </c>
      <c r="F186" s="362" t="s">
        <v>1234</v>
      </c>
      <c r="G186" s="359">
        <v>64.17</v>
      </c>
      <c r="H186" s="363">
        <f t="shared" si="16"/>
        <v>0.38502000000000003</v>
      </c>
    </row>
    <row r="187" spans="2:8">
      <c r="B187" s="699" t="s">
        <v>1231</v>
      </c>
      <c r="C187" s="700"/>
      <c r="D187" s="700"/>
      <c r="E187" s="700"/>
      <c r="F187" s="700"/>
      <c r="G187" s="701"/>
      <c r="H187" s="364">
        <f>SUM(H183:H186)</f>
        <v>15.553920000000002</v>
      </c>
    </row>
    <row r="188" spans="2:8">
      <c r="B188" s="379"/>
      <c r="C188" s="380"/>
      <c r="D188" s="380"/>
      <c r="E188" s="380"/>
      <c r="F188" s="380"/>
      <c r="G188" s="380"/>
      <c r="H188" s="381"/>
    </row>
    <row r="189" spans="2:8" ht="38.25">
      <c r="B189" s="367" t="s">
        <v>1967</v>
      </c>
      <c r="C189" s="382" t="s">
        <v>1225</v>
      </c>
      <c r="D189" s="369" t="s">
        <v>12</v>
      </c>
      <c r="E189" s="369" t="s">
        <v>24</v>
      </c>
      <c r="F189" s="370"/>
      <c r="G189" s="356"/>
      <c r="H189" s="371"/>
    </row>
    <row r="190" spans="2:8">
      <c r="B190" s="358">
        <v>7307</v>
      </c>
      <c r="C190" s="360" t="s">
        <v>2816</v>
      </c>
      <c r="D190" s="361" t="s">
        <v>401</v>
      </c>
      <c r="E190" s="361" t="s">
        <v>1392</v>
      </c>
      <c r="F190" s="362">
        <v>6.7000000000000004E-2</v>
      </c>
      <c r="G190" s="359">
        <v>40.43</v>
      </c>
      <c r="H190" s="363">
        <f>F190*G190</f>
        <v>2.7088100000000002</v>
      </c>
    </row>
    <row r="191" spans="2:8">
      <c r="B191" s="358">
        <v>3768</v>
      </c>
      <c r="C191" s="360" t="s">
        <v>1393</v>
      </c>
      <c r="D191" s="361" t="s">
        <v>401</v>
      </c>
      <c r="E191" s="361" t="s">
        <v>37</v>
      </c>
      <c r="F191" s="362">
        <v>0.25</v>
      </c>
      <c r="G191" s="359">
        <v>4.24</v>
      </c>
      <c r="H191" s="363">
        <f t="shared" ref="H191:H194" si="17">F191*G191</f>
        <v>1.06</v>
      </c>
    </row>
    <row r="192" spans="2:8" ht="25.5">
      <c r="B192" s="358">
        <v>5318</v>
      </c>
      <c r="C192" s="360" t="s">
        <v>1394</v>
      </c>
      <c r="D192" s="361" t="s">
        <v>401</v>
      </c>
      <c r="E192" s="361" t="s">
        <v>1293</v>
      </c>
      <c r="F192" s="362">
        <v>0.01</v>
      </c>
      <c r="G192" s="359">
        <v>19.559999999999999</v>
      </c>
      <c r="H192" s="363">
        <f t="shared" si="17"/>
        <v>0.1956</v>
      </c>
    </row>
    <row r="193" spans="2:8" ht="25.5">
      <c r="B193" s="358" t="s">
        <v>1382</v>
      </c>
      <c r="C193" s="360" t="s">
        <v>1383</v>
      </c>
      <c r="D193" s="361" t="s">
        <v>12</v>
      </c>
      <c r="E193" s="361" t="s">
        <v>1128</v>
      </c>
      <c r="F193" s="362">
        <v>0.08</v>
      </c>
      <c r="G193" s="359">
        <v>27.25</v>
      </c>
      <c r="H193" s="363">
        <f t="shared" si="17"/>
        <v>2.1800000000000002</v>
      </c>
    </row>
    <row r="194" spans="2:8" ht="25.5">
      <c r="B194" s="358" t="s">
        <v>1285</v>
      </c>
      <c r="C194" s="360" t="s">
        <v>1286</v>
      </c>
      <c r="D194" s="361" t="s">
        <v>12</v>
      </c>
      <c r="E194" s="361" t="s">
        <v>1128</v>
      </c>
      <c r="F194" s="362">
        <v>0.04</v>
      </c>
      <c r="G194" s="359">
        <v>19.39</v>
      </c>
      <c r="H194" s="363">
        <f t="shared" si="17"/>
        <v>0.77560000000000007</v>
      </c>
    </row>
    <row r="195" spans="2:8">
      <c r="B195" s="699" t="s">
        <v>1231</v>
      </c>
      <c r="C195" s="700"/>
      <c r="D195" s="700"/>
      <c r="E195" s="700"/>
      <c r="F195" s="700"/>
      <c r="G195" s="701"/>
      <c r="H195" s="364">
        <f>SUM(H190:H194)</f>
        <v>6.9200100000000004</v>
      </c>
    </row>
    <row r="196" spans="2:8">
      <c r="B196" s="733"/>
      <c r="C196" s="734"/>
      <c r="D196" s="734"/>
      <c r="E196" s="734"/>
      <c r="F196" s="734"/>
      <c r="G196" s="734"/>
      <c r="H196" s="734"/>
    </row>
    <row r="197" spans="2:8" ht="76.5">
      <c r="B197" s="367" t="s">
        <v>1968</v>
      </c>
      <c r="C197" s="368" t="s">
        <v>345</v>
      </c>
      <c r="D197" s="369" t="s">
        <v>12</v>
      </c>
      <c r="E197" s="369" t="s">
        <v>24</v>
      </c>
      <c r="F197" s="370"/>
      <c r="G197" s="356"/>
      <c r="H197" s="371"/>
    </row>
    <row r="198" spans="2:8">
      <c r="B198" s="358">
        <v>88309</v>
      </c>
      <c r="C198" s="360" t="s">
        <v>1245</v>
      </c>
      <c r="D198" s="361" t="s">
        <v>1228</v>
      </c>
      <c r="E198" s="361" t="s">
        <v>1128</v>
      </c>
      <c r="F198" s="362">
        <v>2.6</v>
      </c>
      <c r="G198" s="359">
        <v>26.2</v>
      </c>
      <c r="H198" s="363">
        <f>F198*G198</f>
        <v>68.12</v>
      </c>
    </row>
    <row r="199" spans="2:8">
      <c r="B199" s="358">
        <v>88316</v>
      </c>
      <c r="C199" s="360" t="s">
        <v>1246</v>
      </c>
      <c r="D199" s="361" t="s">
        <v>1228</v>
      </c>
      <c r="E199" s="361" t="s">
        <v>1128</v>
      </c>
      <c r="F199" s="362">
        <v>2.6</v>
      </c>
      <c r="G199" s="359">
        <v>19.39</v>
      </c>
      <c r="H199" s="363">
        <f t="shared" ref="H199:H201" si="18">F199*G199</f>
        <v>50.414000000000001</v>
      </c>
    </row>
    <row r="200" spans="2:8" ht="25.5">
      <c r="B200" s="358">
        <v>34401</v>
      </c>
      <c r="C200" s="360" t="s">
        <v>1399</v>
      </c>
      <c r="D200" s="361" t="s">
        <v>401</v>
      </c>
      <c r="E200" s="361" t="s">
        <v>37</v>
      </c>
      <c r="F200" s="362">
        <v>65.900000000000006</v>
      </c>
      <c r="G200" s="359">
        <v>1.91</v>
      </c>
      <c r="H200" s="363">
        <f t="shared" si="18"/>
        <v>125.869</v>
      </c>
    </row>
    <row r="201" spans="2:8" ht="25.5">
      <c r="B201" s="358">
        <v>87286</v>
      </c>
      <c r="C201" s="360" t="s">
        <v>1969</v>
      </c>
      <c r="D201" s="361" t="s">
        <v>12</v>
      </c>
      <c r="E201" s="361" t="s">
        <v>75</v>
      </c>
      <c r="F201" s="362" t="s">
        <v>1235</v>
      </c>
      <c r="G201" s="359">
        <v>662.02</v>
      </c>
      <c r="H201" s="363">
        <f t="shared" si="18"/>
        <v>17.808337999999999</v>
      </c>
    </row>
    <row r="202" spans="2:8">
      <c r="B202" s="699" t="s">
        <v>1231</v>
      </c>
      <c r="C202" s="700"/>
      <c r="D202" s="700"/>
      <c r="E202" s="700"/>
      <c r="F202" s="700"/>
      <c r="G202" s="701"/>
      <c r="H202" s="383">
        <f>SUM(H198:H201)</f>
        <v>262.21133800000001</v>
      </c>
    </row>
    <row r="203" spans="2:8">
      <c r="B203" s="711"/>
      <c r="C203" s="712"/>
      <c r="D203" s="712"/>
      <c r="E203" s="712"/>
      <c r="F203" s="712"/>
      <c r="G203" s="712"/>
      <c r="H203" s="713"/>
    </row>
    <row r="204" spans="2:8" ht="63.75">
      <c r="B204" s="367" t="s">
        <v>1970</v>
      </c>
      <c r="C204" s="368" t="s">
        <v>347</v>
      </c>
      <c r="D204" s="369" t="s">
        <v>12</v>
      </c>
      <c r="E204" s="369" t="s">
        <v>24</v>
      </c>
      <c r="F204" s="370"/>
      <c r="G204" s="356"/>
      <c r="H204" s="371"/>
    </row>
    <row r="205" spans="2:8">
      <c r="B205" s="358">
        <v>88309</v>
      </c>
      <c r="C205" s="360" t="s">
        <v>1245</v>
      </c>
      <c r="D205" s="361" t="s">
        <v>1228</v>
      </c>
      <c r="E205" s="361" t="s">
        <v>1128</v>
      </c>
      <c r="F205" s="362">
        <v>5</v>
      </c>
      <c r="G205" s="359">
        <v>26.2</v>
      </c>
      <c r="H205" s="363">
        <f>F205*G205</f>
        <v>131</v>
      </c>
    </row>
    <row r="206" spans="2:8">
      <c r="B206" s="358">
        <v>88316</v>
      </c>
      <c r="C206" s="360" t="s">
        <v>1246</v>
      </c>
      <c r="D206" s="361" t="s">
        <v>1228</v>
      </c>
      <c r="E206" s="361" t="s">
        <v>1128</v>
      </c>
      <c r="F206" s="362">
        <v>7</v>
      </c>
      <c r="G206" s="359">
        <v>19.39</v>
      </c>
      <c r="H206" s="363">
        <f t="shared" ref="H206:H210" si="19">F206*G206</f>
        <v>135.73000000000002</v>
      </c>
    </row>
    <row r="207" spans="2:8" ht="25.5">
      <c r="B207" s="358">
        <v>34401</v>
      </c>
      <c r="C207" s="360" t="s">
        <v>1399</v>
      </c>
      <c r="D207" s="361" t="s">
        <v>401</v>
      </c>
      <c r="E207" s="361" t="s">
        <v>37</v>
      </c>
      <c r="F207" s="362">
        <v>45</v>
      </c>
      <c r="G207" s="359">
        <v>1.91</v>
      </c>
      <c r="H207" s="363">
        <f t="shared" si="19"/>
        <v>85.95</v>
      </c>
    </row>
    <row r="208" spans="2:8" ht="25.5">
      <c r="B208" s="358">
        <v>87286</v>
      </c>
      <c r="C208" s="360" t="s">
        <v>1969</v>
      </c>
      <c r="D208" s="361" t="s">
        <v>12</v>
      </c>
      <c r="E208" s="361" t="s">
        <v>75</v>
      </c>
      <c r="F208" s="362" t="s">
        <v>1368</v>
      </c>
      <c r="G208" s="359">
        <v>662.02</v>
      </c>
      <c r="H208" s="363">
        <f t="shared" si="19"/>
        <v>4.6341400000000004</v>
      </c>
    </row>
    <row r="209" spans="2:8">
      <c r="B209" s="358">
        <v>43055</v>
      </c>
      <c r="C209" s="360" t="s">
        <v>1400</v>
      </c>
      <c r="D209" s="361" t="s">
        <v>401</v>
      </c>
      <c r="E209" s="361" t="s">
        <v>112</v>
      </c>
      <c r="F209" s="362">
        <v>5</v>
      </c>
      <c r="G209" s="359">
        <v>8.5</v>
      </c>
      <c r="H209" s="363">
        <f t="shared" si="19"/>
        <v>42.5</v>
      </c>
    </row>
    <row r="210" spans="2:8" ht="25.5">
      <c r="B210" s="358" t="s">
        <v>1332</v>
      </c>
      <c r="C210" s="360" t="s">
        <v>1333</v>
      </c>
      <c r="D210" s="361" t="s">
        <v>12</v>
      </c>
      <c r="E210" s="361" t="s">
        <v>1128</v>
      </c>
      <c r="F210" s="362" t="s">
        <v>1279</v>
      </c>
      <c r="G210" s="359">
        <v>26.05</v>
      </c>
      <c r="H210" s="363">
        <f t="shared" si="19"/>
        <v>13.025</v>
      </c>
    </row>
    <row r="211" spans="2:8">
      <c r="B211" s="699" t="s">
        <v>1231</v>
      </c>
      <c r="C211" s="700"/>
      <c r="D211" s="700"/>
      <c r="E211" s="700"/>
      <c r="F211" s="700"/>
      <c r="G211" s="701"/>
      <c r="H211" s="364">
        <f>SUM(H205:H210)</f>
        <v>412.83913999999999</v>
      </c>
    </row>
    <row r="212" spans="2:8">
      <c r="B212" s="702"/>
      <c r="C212" s="703"/>
      <c r="D212" s="703"/>
      <c r="E212" s="703"/>
      <c r="F212" s="703"/>
      <c r="G212" s="703"/>
      <c r="H212" s="704"/>
    </row>
    <row r="213" spans="2:8" ht="63.75">
      <c r="B213" s="367" t="s">
        <v>1971</v>
      </c>
      <c r="C213" s="368" t="s">
        <v>348</v>
      </c>
      <c r="D213" s="369" t="s">
        <v>12</v>
      </c>
      <c r="E213" s="369" t="s">
        <v>24</v>
      </c>
      <c r="F213" s="370"/>
      <c r="G213" s="356"/>
      <c r="H213" s="371"/>
    </row>
    <row r="214" spans="2:8">
      <c r="B214" s="358">
        <v>88309</v>
      </c>
      <c r="C214" s="360" t="s">
        <v>1245</v>
      </c>
      <c r="D214" s="361" t="s">
        <v>1228</v>
      </c>
      <c r="E214" s="361" t="s">
        <v>1128</v>
      </c>
      <c r="F214" s="362">
        <v>7</v>
      </c>
      <c r="G214" s="359">
        <v>26.2</v>
      </c>
      <c r="H214" s="363">
        <f>F214*G214</f>
        <v>183.4</v>
      </c>
    </row>
    <row r="215" spans="2:8">
      <c r="B215" s="358">
        <v>88316</v>
      </c>
      <c r="C215" s="360" t="s">
        <v>1246</v>
      </c>
      <c r="D215" s="361" t="s">
        <v>1228</v>
      </c>
      <c r="E215" s="361" t="s">
        <v>1128</v>
      </c>
      <c r="F215" s="362">
        <v>9</v>
      </c>
      <c r="G215" s="359">
        <v>19.39</v>
      </c>
      <c r="H215" s="363">
        <f t="shared" ref="H215:H219" si="20">F215*G215</f>
        <v>174.51</v>
      </c>
    </row>
    <row r="216" spans="2:8" ht="25.5">
      <c r="B216" s="358">
        <v>34401</v>
      </c>
      <c r="C216" s="360" t="s">
        <v>1399</v>
      </c>
      <c r="D216" s="361" t="s">
        <v>401</v>
      </c>
      <c r="E216" s="361" t="s">
        <v>37</v>
      </c>
      <c r="F216" s="362">
        <v>5.73</v>
      </c>
      <c r="G216" s="359">
        <v>1.91</v>
      </c>
      <c r="H216" s="363">
        <f t="shared" si="20"/>
        <v>10.9443</v>
      </c>
    </row>
    <row r="217" spans="2:8" ht="25.5">
      <c r="B217" s="358">
        <v>87286</v>
      </c>
      <c r="C217" s="360" t="s">
        <v>1969</v>
      </c>
      <c r="D217" s="361" t="s">
        <v>12</v>
      </c>
      <c r="E217" s="361" t="s">
        <v>75</v>
      </c>
      <c r="F217" s="362" t="s">
        <v>1343</v>
      </c>
      <c r="G217" s="359">
        <v>662.02</v>
      </c>
      <c r="H217" s="363">
        <f t="shared" si="20"/>
        <v>15.226459999999999</v>
      </c>
    </row>
    <row r="218" spans="2:8">
      <c r="B218" s="358">
        <v>43055</v>
      </c>
      <c r="C218" s="360" t="s">
        <v>1400</v>
      </c>
      <c r="D218" s="361" t="s">
        <v>401</v>
      </c>
      <c r="E218" s="361" t="s">
        <v>112</v>
      </c>
      <c r="F218" s="362">
        <v>11</v>
      </c>
      <c r="G218" s="359">
        <v>8.5</v>
      </c>
      <c r="H218" s="363">
        <f t="shared" si="20"/>
        <v>93.5</v>
      </c>
    </row>
    <row r="219" spans="2:8" ht="25.5">
      <c r="B219" s="358" t="s">
        <v>1332</v>
      </c>
      <c r="C219" s="360" t="s">
        <v>1333</v>
      </c>
      <c r="D219" s="361" t="s">
        <v>12</v>
      </c>
      <c r="E219" s="361" t="s">
        <v>1128</v>
      </c>
      <c r="F219" s="362">
        <v>1</v>
      </c>
      <c r="G219" s="359">
        <v>26.05</v>
      </c>
      <c r="H219" s="363">
        <f t="shared" si="20"/>
        <v>26.05</v>
      </c>
    </row>
    <row r="220" spans="2:8">
      <c r="B220" s="699" t="s">
        <v>1231</v>
      </c>
      <c r="C220" s="700"/>
      <c r="D220" s="700"/>
      <c r="E220" s="700"/>
      <c r="F220" s="700"/>
      <c r="G220" s="701"/>
      <c r="H220" s="364">
        <f>SUM(H214:H219)</f>
        <v>503.63075999999995</v>
      </c>
    </row>
    <row r="221" spans="2:8">
      <c r="B221" s="702"/>
      <c r="C221" s="703"/>
      <c r="D221" s="703"/>
      <c r="E221" s="703"/>
      <c r="F221" s="703"/>
      <c r="G221" s="703"/>
      <c r="H221" s="704"/>
    </row>
    <row r="222" spans="2:8" ht="63.75">
      <c r="B222" s="367" t="s">
        <v>1972</v>
      </c>
      <c r="C222" s="368" t="s">
        <v>1804</v>
      </c>
      <c r="D222" s="369" t="s">
        <v>12</v>
      </c>
      <c r="E222" s="369" t="s">
        <v>24</v>
      </c>
      <c r="F222" s="370"/>
      <c r="G222" s="356"/>
      <c r="H222" s="371"/>
    </row>
    <row r="223" spans="2:8" ht="51">
      <c r="B223" s="358">
        <v>11795</v>
      </c>
      <c r="C223" s="360" t="s">
        <v>1401</v>
      </c>
      <c r="D223" s="361" t="s">
        <v>401</v>
      </c>
      <c r="E223" s="361" t="s">
        <v>24</v>
      </c>
      <c r="F223" s="362">
        <v>1</v>
      </c>
      <c r="G223" s="359">
        <v>467.92</v>
      </c>
      <c r="H223" s="363">
        <f>F223*G223</f>
        <v>467.92</v>
      </c>
    </row>
    <row r="224" spans="2:8">
      <c r="B224" s="358">
        <v>1380</v>
      </c>
      <c r="C224" s="360" t="s">
        <v>1402</v>
      </c>
      <c r="D224" s="361" t="s">
        <v>401</v>
      </c>
      <c r="E224" s="361" t="s">
        <v>112</v>
      </c>
      <c r="F224" s="362" t="s">
        <v>1403</v>
      </c>
      <c r="G224" s="359">
        <v>2.0699999999999998</v>
      </c>
      <c r="H224" s="363">
        <f t="shared" ref="H224:H227" si="21">F224*G224</f>
        <v>1.4489999999999998</v>
      </c>
    </row>
    <row r="225" spans="2:8" ht="25.5">
      <c r="B225" s="358" t="s">
        <v>1404</v>
      </c>
      <c r="C225" s="360" t="s">
        <v>1405</v>
      </c>
      <c r="D225" s="361" t="s">
        <v>12</v>
      </c>
      <c r="E225" s="361" t="s">
        <v>1128</v>
      </c>
      <c r="F225" s="362">
        <v>4.8</v>
      </c>
      <c r="G225" s="359">
        <v>26.1</v>
      </c>
      <c r="H225" s="363">
        <f t="shared" si="21"/>
        <v>125.28</v>
      </c>
    </row>
    <row r="226" spans="2:8" ht="25.5">
      <c r="B226" s="358" t="s">
        <v>1285</v>
      </c>
      <c r="C226" s="360" t="s">
        <v>1286</v>
      </c>
      <c r="D226" s="361" t="s">
        <v>12</v>
      </c>
      <c r="E226" s="361" t="s">
        <v>1128</v>
      </c>
      <c r="F226" s="362">
        <v>2.2999999999999998</v>
      </c>
      <c r="G226" s="359">
        <v>19.39</v>
      </c>
      <c r="H226" s="363">
        <f t="shared" si="21"/>
        <v>44.597000000000001</v>
      </c>
    </row>
    <row r="227" spans="2:8" ht="38.25">
      <c r="B227" s="358" t="s">
        <v>1406</v>
      </c>
      <c r="C227" s="360" t="s">
        <v>1407</v>
      </c>
      <c r="D227" s="361" t="s">
        <v>12</v>
      </c>
      <c r="E227" s="361" t="s">
        <v>75</v>
      </c>
      <c r="F227" s="362" t="s">
        <v>1408</v>
      </c>
      <c r="G227" s="359">
        <v>656.94</v>
      </c>
      <c r="H227" s="363">
        <f t="shared" si="21"/>
        <v>2.1679020000000002</v>
      </c>
    </row>
    <row r="228" spans="2:8">
      <c r="B228" s="699" t="s">
        <v>1231</v>
      </c>
      <c r="C228" s="700"/>
      <c r="D228" s="700"/>
      <c r="E228" s="700"/>
      <c r="F228" s="700"/>
      <c r="G228" s="701"/>
      <c r="H228" s="364">
        <f>SUM(H223:H227)</f>
        <v>641.41390200000001</v>
      </c>
    </row>
    <row r="229" spans="2:8">
      <c r="B229" s="702"/>
      <c r="C229" s="703"/>
      <c r="D229" s="703"/>
      <c r="E229" s="703"/>
      <c r="F229" s="703"/>
      <c r="G229" s="703"/>
      <c r="H229" s="704"/>
    </row>
    <row r="230" spans="2:8" ht="38.25">
      <c r="B230" s="367" t="s">
        <v>1973</v>
      </c>
      <c r="C230" s="368" t="s">
        <v>1974</v>
      </c>
      <c r="D230" s="369" t="s">
        <v>12</v>
      </c>
      <c r="E230" s="369" t="s">
        <v>24</v>
      </c>
      <c r="F230" s="370"/>
      <c r="G230" s="356"/>
      <c r="H230" s="371"/>
    </row>
    <row r="231" spans="2:8" ht="38.25">
      <c r="B231" s="358" t="s">
        <v>1409</v>
      </c>
      <c r="C231" s="360" t="s">
        <v>1410</v>
      </c>
      <c r="D231" s="361" t="s">
        <v>12</v>
      </c>
      <c r="E231" s="361" t="s">
        <v>37</v>
      </c>
      <c r="F231" s="362" t="s">
        <v>1411</v>
      </c>
      <c r="G231" s="359">
        <f>1170.51*1.2173</f>
        <v>1424.861823</v>
      </c>
      <c r="H231" s="363">
        <f>F231*G231</f>
        <v>441.70716512999996</v>
      </c>
    </row>
    <row r="232" spans="2:8">
      <c r="B232" s="699" t="s">
        <v>1231</v>
      </c>
      <c r="C232" s="700"/>
      <c r="D232" s="700"/>
      <c r="E232" s="700"/>
      <c r="F232" s="700"/>
      <c r="G232" s="701"/>
      <c r="H232" s="364">
        <f>SUM(H231)</f>
        <v>441.70716512999996</v>
      </c>
    </row>
    <row r="233" spans="2:8">
      <c r="B233" s="711"/>
      <c r="C233" s="712"/>
      <c r="D233" s="712"/>
      <c r="E233" s="712"/>
      <c r="F233" s="712"/>
      <c r="G233" s="712"/>
      <c r="H233" s="713"/>
    </row>
    <row r="234" spans="2:8" ht="51">
      <c r="B234" s="367" t="s">
        <v>1975</v>
      </c>
      <c r="C234" s="368" t="s">
        <v>1976</v>
      </c>
      <c r="D234" s="369" t="s">
        <v>12</v>
      </c>
      <c r="E234" s="369" t="s">
        <v>24</v>
      </c>
      <c r="F234" s="370"/>
      <c r="G234" s="356"/>
      <c r="H234" s="371"/>
    </row>
    <row r="235" spans="2:8" ht="51">
      <c r="B235" s="358" t="s">
        <v>1412</v>
      </c>
      <c r="C235" s="360" t="s">
        <v>1413</v>
      </c>
      <c r="D235" s="361" t="s">
        <v>12</v>
      </c>
      <c r="E235" s="361" t="s">
        <v>37</v>
      </c>
      <c r="F235" s="362" t="s">
        <v>1411</v>
      </c>
      <c r="G235" s="359">
        <f>1366.93*1.2173</f>
        <v>1663.9638890000001</v>
      </c>
      <c r="H235" s="363">
        <f>F235*G235</f>
        <v>515.82880559</v>
      </c>
    </row>
    <row r="236" spans="2:8">
      <c r="B236" s="699" t="s">
        <v>1231</v>
      </c>
      <c r="C236" s="700"/>
      <c r="D236" s="700"/>
      <c r="E236" s="700"/>
      <c r="F236" s="700"/>
      <c r="G236" s="701"/>
      <c r="H236" s="364">
        <f>SUM(H235)</f>
        <v>515.82880559</v>
      </c>
    </row>
    <row r="237" spans="2:8">
      <c r="B237" s="736"/>
      <c r="C237" s="737"/>
      <c r="D237" s="737"/>
      <c r="E237" s="737"/>
      <c r="F237" s="737"/>
      <c r="G237" s="737"/>
      <c r="H237" s="737"/>
    </row>
    <row r="238" spans="2:8" ht="25.5">
      <c r="B238" s="367" t="s">
        <v>1977</v>
      </c>
      <c r="C238" s="382" t="s">
        <v>1805</v>
      </c>
      <c r="D238" s="369" t="s">
        <v>12</v>
      </c>
      <c r="E238" s="369" t="s">
        <v>24</v>
      </c>
      <c r="F238" s="370"/>
      <c r="G238" s="356"/>
      <c r="H238" s="371"/>
    </row>
    <row r="239" spans="2:8" ht="38.25">
      <c r="B239" s="358">
        <v>4944</v>
      </c>
      <c r="C239" s="360" t="s">
        <v>1806</v>
      </c>
      <c r="D239" s="361" t="s">
        <v>1807</v>
      </c>
      <c r="E239" s="361" t="s">
        <v>24</v>
      </c>
      <c r="F239" s="362">
        <v>1</v>
      </c>
      <c r="G239" s="359">
        <v>1412.98</v>
      </c>
      <c r="H239" s="363">
        <f>F239*G239</f>
        <v>1412.98</v>
      </c>
    </row>
    <row r="240" spans="2:8" ht="25.5">
      <c r="B240" s="358" t="s">
        <v>1337</v>
      </c>
      <c r="C240" s="360" t="s">
        <v>1338</v>
      </c>
      <c r="D240" s="361" t="s">
        <v>12</v>
      </c>
      <c r="E240" s="361" t="s">
        <v>1128</v>
      </c>
      <c r="F240" s="362">
        <v>0.8</v>
      </c>
      <c r="G240" s="359">
        <v>26.2</v>
      </c>
      <c r="H240" s="363">
        <f t="shared" ref="H240:H243" si="22">F240*G240</f>
        <v>20.96</v>
      </c>
    </row>
    <row r="241" spans="2:8" ht="25.5">
      <c r="B241" s="358" t="s">
        <v>1388</v>
      </c>
      <c r="C241" s="360" t="s">
        <v>1389</v>
      </c>
      <c r="D241" s="361" t="s">
        <v>12</v>
      </c>
      <c r="E241" s="361" t="s">
        <v>1128</v>
      </c>
      <c r="F241" s="362">
        <v>1.8</v>
      </c>
      <c r="G241" s="359">
        <v>26.05</v>
      </c>
      <c r="H241" s="363">
        <f t="shared" si="22"/>
        <v>46.89</v>
      </c>
    </row>
    <row r="242" spans="2:8" ht="25.5">
      <c r="B242" s="358" t="s">
        <v>1285</v>
      </c>
      <c r="C242" s="360" t="s">
        <v>1286</v>
      </c>
      <c r="D242" s="361" t="s">
        <v>12</v>
      </c>
      <c r="E242" s="361" t="s">
        <v>1128</v>
      </c>
      <c r="F242" s="362">
        <v>3</v>
      </c>
      <c r="G242" s="359">
        <v>19.39</v>
      </c>
      <c r="H242" s="363">
        <f t="shared" si="22"/>
        <v>58.17</v>
      </c>
    </row>
    <row r="243" spans="2:8" ht="38.25">
      <c r="B243" s="358" t="s">
        <v>1808</v>
      </c>
      <c r="C243" s="360" t="s">
        <v>1809</v>
      </c>
      <c r="D243" s="361" t="s">
        <v>12</v>
      </c>
      <c r="E243" s="361" t="s">
        <v>75</v>
      </c>
      <c r="F243" s="362">
        <v>6.0000000000000001E-3</v>
      </c>
      <c r="G243" s="359">
        <v>719.9</v>
      </c>
      <c r="H243" s="363">
        <f t="shared" si="22"/>
        <v>4.3193999999999999</v>
      </c>
    </row>
    <row r="244" spans="2:8">
      <c r="B244" s="699" t="s">
        <v>1231</v>
      </c>
      <c r="C244" s="700"/>
      <c r="D244" s="700"/>
      <c r="E244" s="700"/>
      <c r="F244" s="700"/>
      <c r="G244" s="701"/>
      <c r="H244" s="364">
        <f>SUM(H239:H243)</f>
        <v>1543.3194000000003</v>
      </c>
    </row>
    <row r="245" spans="2:8">
      <c r="B245" s="738"/>
      <c r="C245" s="739"/>
      <c r="D245" s="739"/>
      <c r="E245" s="739"/>
      <c r="F245" s="739"/>
      <c r="G245" s="739"/>
      <c r="H245" s="739"/>
    </row>
    <row r="246" spans="2:8" ht="25.5">
      <c r="B246" s="367" t="s">
        <v>1978</v>
      </c>
      <c r="C246" s="368" t="s">
        <v>1979</v>
      </c>
      <c r="D246" s="369" t="s">
        <v>12</v>
      </c>
      <c r="E246" s="369" t="s">
        <v>37</v>
      </c>
      <c r="F246" s="370"/>
      <c r="G246" s="356"/>
      <c r="H246" s="371"/>
    </row>
    <row r="247" spans="2:8" ht="38.25">
      <c r="B247" s="358">
        <v>11447</v>
      </c>
      <c r="C247" s="360" t="s">
        <v>1414</v>
      </c>
      <c r="D247" s="361" t="s">
        <v>401</v>
      </c>
      <c r="E247" s="361" t="s">
        <v>37</v>
      </c>
      <c r="F247" s="362">
        <v>2</v>
      </c>
      <c r="G247" s="359">
        <v>28.48</v>
      </c>
      <c r="H247" s="363">
        <f>F247*G247</f>
        <v>56.96</v>
      </c>
    </row>
    <row r="248" spans="2:8" ht="25.5">
      <c r="B248" s="358">
        <v>1327</v>
      </c>
      <c r="C248" s="360" t="s">
        <v>1415</v>
      </c>
      <c r="D248" s="361" t="s">
        <v>401</v>
      </c>
      <c r="E248" s="361" t="s">
        <v>112</v>
      </c>
      <c r="F248" s="362" t="s">
        <v>1416</v>
      </c>
      <c r="G248" s="359">
        <v>14.9</v>
      </c>
      <c r="H248" s="363">
        <f t="shared" ref="H248:H253" si="23">F248*G248</f>
        <v>7.3010000000000002</v>
      </c>
    </row>
    <row r="249" spans="2:8" ht="38.25" customHeight="1">
      <c r="B249" s="358">
        <v>567</v>
      </c>
      <c r="C249" s="360" t="s">
        <v>1417</v>
      </c>
      <c r="D249" s="361" t="s">
        <v>401</v>
      </c>
      <c r="E249" s="361" t="s">
        <v>15</v>
      </c>
      <c r="F249" s="362">
        <v>2.8</v>
      </c>
      <c r="G249" s="359">
        <v>14.45</v>
      </c>
      <c r="H249" s="363">
        <f t="shared" si="23"/>
        <v>40.459999999999994</v>
      </c>
    </row>
    <row r="250" spans="2:8" ht="25.5">
      <c r="B250" s="358" t="s">
        <v>1337</v>
      </c>
      <c r="C250" s="360" t="s">
        <v>1338</v>
      </c>
      <c r="D250" s="361" t="s">
        <v>12</v>
      </c>
      <c r="E250" s="361" t="s">
        <v>1128</v>
      </c>
      <c r="F250" s="362" t="s">
        <v>1418</v>
      </c>
      <c r="G250" s="359">
        <v>26.2</v>
      </c>
      <c r="H250" s="363">
        <f t="shared" si="23"/>
        <v>10.48</v>
      </c>
    </row>
    <row r="251" spans="2:8" ht="25.5">
      <c r="B251" s="358" t="s">
        <v>1388</v>
      </c>
      <c r="C251" s="360" t="s">
        <v>1389</v>
      </c>
      <c r="D251" s="361" t="s">
        <v>12</v>
      </c>
      <c r="E251" s="361" t="s">
        <v>1128</v>
      </c>
      <c r="F251" s="362" t="s">
        <v>1416</v>
      </c>
      <c r="G251" s="359">
        <v>26.05</v>
      </c>
      <c r="H251" s="363">
        <f t="shared" si="23"/>
        <v>12.7645</v>
      </c>
    </row>
    <row r="252" spans="2:8" ht="25.5">
      <c r="B252" s="358" t="s">
        <v>1285</v>
      </c>
      <c r="C252" s="360" t="s">
        <v>1286</v>
      </c>
      <c r="D252" s="361" t="s">
        <v>12</v>
      </c>
      <c r="E252" s="361" t="s">
        <v>1128</v>
      </c>
      <c r="F252" s="362" t="s">
        <v>1419</v>
      </c>
      <c r="G252" s="359">
        <v>19.39</v>
      </c>
      <c r="H252" s="363">
        <f t="shared" si="23"/>
        <v>17.257100000000001</v>
      </c>
    </row>
    <row r="253" spans="2:8" ht="38.25" customHeight="1">
      <c r="B253" s="358" t="s">
        <v>1406</v>
      </c>
      <c r="C253" s="360" t="s">
        <v>1407</v>
      </c>
      <c r="D253" s="361" t="s">
        <v>12</v>
      </c>
      <c r="E253" s="361" t="s">
        <v>75</v>
      </c>
      <c r="F253" s="362" t="s">
        <v>1296</v>
      </c>
      <c r="G253" s="359">
        <v>656.94</v>
      </c>
      <c r="H253" s="363">
        <f t="shared" si="23"/>
        <v>1.9708200000000002</v>
      </c>
    </row>
    <row r="254" spans="2:8">
      <c r="B254" s="699" t="s">
        <v>1231</v>
      </c>
      <c r="C254" s="700"/>
      <c r="D254" s="700"/>
      <c r="E254" s="700"/>
      <c r="F254" s="700"/>
      <c r="G254" s="701"/>
      <c r="H254" s="364">
        <f>SUM(H247:H253)</f>
        <v>147.19342</v>
      </c>
    </row>
    <row r="255" spans="2:8">
      <c r="B255" s="702"/>
      <c r="C255" s="703"/>
      <c r="D255" s="703"/>
      <c r="E255" s="703"/>
      <c r="F255" s="703"/>
      <c r="G255" s="703"/>
      <c r="H255" s="704"/>
    </row>
    <row r="256" spans="2:8" ht="102">
      <c r="B256" s="367" t="s">
        <v>1980</v>
      </c>
      <c r="C256" s="368" t="s">
        <v>1810</v>
      </c>
      <c r="D256" s="369" t="s">
        <v>12</v>
      </c>
      <c r="E256" s="369" t="s">
        <v>24</v>
      </c>
      <c r="F256" s="370"/>
      <c r="G256" s="356"/>
      <c r="H256" s="371"/>
    </row>
    <row r="257" spans="2:8" ht="38.25">
      <c r="B257" s="358" t="s">
        <v>1420</v>
      </c>
      <c r="C257" s="360" t="s">
        <v>1421</v>
      </c>
      <c r="D257" s="361" t="s">
        <v>401</v>
      </c>
      <c r="E257" s="361" t="s">
        <v>112</v>
      </c>
      <c r="F257" s="362">
        <v>1.6</v>
      </c>
      <c r="G257" s="359">
        <f>6.3*1.2173</f>
        <v>7.66899</v>
      </c>
      <c r="H257" s="363">
        <f>F257*G257</f>
        <v>12.270384</v>
      </c>
    </row>
    <row r="258" spans="2:8" ht="38.25">
      <c r="B258" s="358">
        <v>7696</v>
      </c>
      <c r="C258" s="360" t="s">
        <v>1811</v>
      </c>
      <c r="D258" s="361" t="s">
        <v>401</v>
      </c>
      <c r="E258" s="361" t="s">
        <v>15</v>
      </c>
      <c r="F258" s="362">
        <v>2.11</v>
      </c>
      <c r="G258" s="359">
        <v>89.93</v>
      </c>
      <c r="H258" s="363">
        <f t="shared" ref="H258:H273" si="24">F258*G258</f>
        <v>189.75229999999999</v>
      </c>
    </row>
    <row r="259" spans="2:8" ht="25.5">
      <c r="B259" s="358">
        <v>3384</v>
      </c>
      <c r="C259" s="360" t="s">
        <v>1812</v>
      </c>
      <c r="D259" s="361" t="s">
        <v>401</v>
      </c>
      <c r="E259" s="361" t="s">
        <v>37</v>
      </c>
      <c r="F259" s="362">
        <v>0.45</v>
      </c>
      <c r="G259" s="359">
        <v>8.3699999999999992</v>
      </c>
      <c r="H259" s="363">
        <f t="shared" si="24"/>
        <v>3.7664999999999997</v>
      </c>
    </row>
    <row r="260" spans="2:8" ht="25.5">
      <c r="B260" s="358" t="s">
        <v>1424</v>
      </c>
      <c r="C260" s="360" t="s">
        <v>1425</v>
      </c>
      <c r="D260" s="361" t="s">
        <v>401</v>
      </c>
      <c r="E260" s="361" t="s">
        <v>112</v>
      </c>
      <c r="F260" s="362">
        <v>7.18</v>
      </c>
      <c r="G260" s="359">
        <f>6.3*1.2173</f>
        <v>7.66899</v>
      </c>
      <c r="H260" s="363">
        <f t="shared" si="24"/>
        <v>55.0633482</v>
      </c>
    </row>
    <row r="261" spans="2:8" ht="25.5">
      <c r="B261" s="358">
        <v>43130</v>
      </c>
      <c r="C261" s="360" t="s">
        <v>1813</v>
      </c>
      <c r="D261" s="361" t="s">
        <v>401</v>
      </c>
      <c r="E261" s="361" t="s">
        <v>112</v>
      </c>
      <c r="F261" s="362">
        <v>3.2000000000000001E-2</v>
      </c>
      <c r="G261" s="359">
        <v>22.62</v>
      </c>
      <c r="H261" s="363">
        <f t="shared" si="24"/>
        <v>0.72384000000000004</v>
      </c>
    </row>
    <row r="262" spans="2:8" ht="63.75">
      <c r="B262" s="358">
        <v>10935</v>
      </c>
      <c r="C262" s="360" t="s">
        <v>1814</v>
      </c>
      <c r="D262" s="361" t="s">
        <v>401</v>
      </c>
      <c r="E262" s="361" t="s">
        <v>24</v>
      </c>
      <c r="F262" s="362">
        <v>1.1000000000000001</v>
      </c>
      <c r="G262" s="359">
        <v>53.08</v>
      </c>
      <c r="H262" s="363">
        <f t="shared" si="24"/>
        <v>58.388000000000005</v>
      </c>
    </row>
    <row r="263" spans="2:8" ht="25.5">
      <c r="B263" s="358">
        <v>10997</v>
      </c>
      <c r="C263" s="360" t="s">
        <v>1426</v>
      </c>
      <c r="D263" s="361" t="s">
        <v>401</v>
      </c>
      <c r="E263" s="361" t="s">
        <v>112</v>
      </c>
      <c r="F263" s="362">
        <v>0.55000000000000004</v>
      </c>
      <c r="G263" s="359">
        <v>36</v>
      </c>
      <c r="H263" s="363">
        <f t="shared" si="24"/>
        <v>19.8</v>
      </c>
    </row>
    <row r="264" spans="2:8">
      <c r="B264" s="358">
        <v>43054</v>
      </c>
      <c r="C264" s="360" t="s">
        <v>1427</v>
      </c>
      <c r="D264" s="361" t="s">
        <v>401</v>
      </c>
      <c r="E264" s="361" t="s">
        <v>112</v>
      </c>
      <c r="F264" s="362">
        <v>3.52</v>
      </c>
      <c r="G264" s="359">
        <v>10.54</v>
      </c>
      <c r="H264" s="363">
        <f t="shared" si="24"/>
        <v>37.1008</v>
      </c>
    </row>
    <row r="265" spans="2:8" ht="63.75">
      <c r="B265" s="358" t="s">
        <v>1430</v>
      </c>
      <c r="C265" s="360" t="s">
        <v>1431</v>
      </c>
      <c r="D265" s="361" t="s">
        <v>12</v>
      </c>
      <c r="E265" s="361" t="s">
        <v>1291</v>
      </c>
      <c r="F265" s="362">
        <v>0.56000000000000005</v>
      </c>
      <c r="G265" s="359">
        <v>2.71</v>
      </c>
      <c r="H265" s="363">
        <f t="shared" si="24"/>
        <v>1.5176000000000001</v>
      </c>
    </row>
    <row r="266" spans="2:8" ht="25.5">
      <c r="B266" s="358">
        <v>5075</v>
      </c>
      <c r="C266" s="360" t="s">
        <v>1815</v>
      </c>
      <c r="D266" s="361" t="s">
        <v>401</v>
      </c>
      <c r="E266" s="361" t="s">
        <v>112</v>
      </c>
      <c r="F266" s="362">
        <v>0.04</v>
      </c>
      <c r="G266" s="359">
        <v>22.69</v>
      </c>
      <c r="H266" s="363">
        <f t="shared" si="24"/>
        <v>0.90760000000000007</v>
      </c>
    </row>
    <row r="267" spans="2:8" ht="25.5">
      <c r="B267" s="358">
        <v>6193</v>
      </c>
      <c r="C267" s="360" t="s">
        <v>1981</v>
      </c>
      <c r="D267" s="361" t="s">
        <v>401</v>
      </c>
      <c r="E267" s="361" t="s">
        <v>24</v>
      </c>
      <c r="F267" s="362">
        <v>4.8000000000000001E-2</v>
      </c>
      <c r="G267" s="359">
        <v>24.66</v>
      </c>
      <c r="H267" s="363">
        <f t="shared" si="24"/>
        <v>1.1836800000000001</v>
      </c>
    </row>
    <row r="268" spans="2:8" ht="25.5">
      <c r="B268" s="358" t="s">
        <v>1396</v>
      </c>
      <c r="C268" s="360" t="s">
        <v>1817</v>
      </c>
      <c r="D268" s="361" t="s">
        <v>12</v>
      </c>
      <c r="E268" s="361" t="s">
        <v>75</v>
      </c>
      <c r="F268" s="362">
        <v>1.7999999999999999E-2</v>
      </c>
      <c r="G268" s="359">
        <v>550.86</v>
      </c>
      <c r="H268" s="363">
        <f t="shared" si="24"/>
        <v>9.9154799999999987</v>
      </c>
    </row>
    <row r="269" spans="2:8" ht="25.5">
      <c r="B269" s="358" t="s">
        <v>1818</v>
      </c>
      <c r="C269" s="360" t="s">
        <v>1819</v>
      </c>
      <c r="D269" s="361" t="s">
        <v>12</v>
      </c>
      <c r="E269" s="361" t="s">
        <v>1128</v>
      </c>
      <c r="F269" s="362">
        <v>0.5</v>
      </c>
      <c r="G269" s="359">
        <v>24.86</v>
      </c>
      <c r="H269" s="363">
        <f t="shared" si="24"/>
        <v>12.43</v>
      </c>
    </row>
    <row r="270" spans="2:8" ht="25.5">
      <c r="B270" s="358" t="s">
        <v>1337</v>
      </c>
      <c r="C270" s="360" t="s">
        <v>1338</v>
      </c>
      <c r="D270" s="361" t="s">
        <v>12</v>
      </c>
      <c r="E270" s="361" t="s">
        <v>1128</v>
      </c>
      <c r="F270" s="362">
        <v>0.5</v>
      </c>
      <c r="G270" s="359">
        <v>26.2</v>
      </c>
      <c r="H270" s="363">
        <f t="shared" si="24"/>
        <v>13.1</v>
      </c>
    </row>
    <row r="271" spans="2:8" ht="25.5">
      <c r="B271" s="358" t="s">
        <v>1388</v>
      </c>
      <c r="C271" s="360" t="s">
        <v>1389</v>
      </c>
      <c r="D271" s="361" t="s">
        <v>12</v>
      </c>
      <c r="E271" s="361" t="s">
        <v>1128</v>
      </c>
      <c r="F271" s="362">
        <v>1.78</v>
      </c>
      <c r="G271" s="359">
        <v>26.05</v>
      </c>
      <c r="H271" s="363">
        <f t="shared" si="24"/>
        <v>46.369</v>
      </c>
    </row>
    <row r="272" spans="2:8" ht="25.5">
      <c r="B272" s="358" t="s">
        <v>1285</v>
      </c>
      <c r="C272" s="360" t="s">
        <v>1286</v>
      </c>
      <c r="D272" s="361" t="s">
        <v>12</v>
      </c>
      <c r="E272" s="361" t="s">
        <v>1128</v>
      </c>
      <c r="F272" s="362">
        <v>3.2</v>
      </c>
      <c r="G272" s="359">
        <v>19.39</v>
      </c>
      <c r="H272" s="363">
        <f t="shared" si="24"/>
        <v>62.048000000000002</v>
      </c>
    </row>
    <row r="273" spans="2:12" ht="25.5">
      <c r="B273" s="358" t="s">
        <v>1428</v>
      </c>
      <c r="C273" s="360" t="s">
        <v>1429</v>
      </c>
      <c r="D273" s="361" t="s">
        <v>12</v>
      </c>
      <c r="E273" s="361" t="s">
        <v>1128</v>
      </c>
      <c r="F273" s="362">
        <v>0.56000000000000005</v>
      </c>
      <c r="G273" s="359">
        <v>26.87</v>
      </c>
      <c r="H273" s="363">
        <f t="shared" si="24"/>
        <v>15.047200000000002</v>
      </c>
    </row>
    <row r="274" spans="2:12">
      <c r="B274" s="699" t="s">
        <v>1231</v>
      </c>
      <c r="C274" s="700"/>
      <c r="D274" s="700"/>
      <c r="E274" s="700"/>
      <c r="F274" s="700"/>
      <c r="G274" s="701"/>
      <c r="H274" s="364">
        <f>SUM(H257:H273)</f>
        <v>539.38373219999994</v>
      </c>
    </row>
    <row r="275" spans="2:12">
      <c r="B275" s="740"/>
      <c r="C275" s="741"/>
      <c r="D275" s="741"/>
      <c r="E275" s="741"/>
      <c r="F275" s="741"/>
      <c r="G275" s="741"/>
      <c r="H275" s="742"/>
    </row>
    <row r="276" spans="2:12" ht="38.25" customHeight="1">
      <c r="B276" s="384" t="s">
        <v>1982</v>
      </c>
      <c r="C276" s="385" t="s">
        <v>1820</v>
      </c>
      <c r="D276" s="386" t="s">
        <v>12</v>
      </c>
      <c r="E276" s="386" t="s">
        <v>37</v>
      </c>
      <c r="F276" s="362"/>
      <c r="G276" s="359"/>
      <c r="H276" s="387"/>
      <c r="J276" s="735"/>
      <c r="K276" s="735"/>
      <c r="L276" s="735"/>
    </row>
    <row r="277" spans="2:12" ht="25.5">
      <c r="B277" s="388" t="s">
        <v>1433</v>
      </c>
      <c r="C277" s="360" t="s">
        <v>1434</v>
      </c>
      <c r="D277" s="361" t="s">
        <v>401</v>
      </c>
      <c r="E277" s="361" t="s">
        <v>112</v>
      </c>
      <c r="F277" s="362">
        <v>32.200000000000003</v>
      </c>
      <c r="G277" s="359">
        <f t="shared" ref="G277:G284" si="25">6.3*1.2173</f>
        <v>7.66899</v>
      </c>
      <c r="H277" s="387">
        <f t="shared" ref="H277:H292" si="26">F277*G277</f>
        <v>246.94147800000002</v>
      </c>
      <c r="J277" s="735"/>
      <c r="K277" s="735"/>
      <c r="L277" s="735"/>
    </row>
    <row r="278" spans="2:12" ht="25.5">
      <c r="B278" s="388" t="s">
        <v>1435</v>
      </c>
      <c r="C278" s="360" t="s">
        <v>1436</v>
      </c>
      <c r="D278" s="361" t="s">
        <v>401</v>
      </c>
      <c r="E278" s="361" t="s">
        <v>112</v>
      </c>
      <c r="F278" s="362">
        <v>99.9</v>
      </c>
      <c r="G278" s="359">
        <f t="shared" si="25"/>
        <v>7.66899</v>
      </c>
      <c r="H278" s="387">
        <f t="shared" si="26"/>
        <v>766.13210100000003</v>
      </c>
    </row>
    <row r="279" spans="2:12" ht="25.5">
      <c r="B279" s="388" t="s">
        <v>1437</v>
      </c>
      <c r="C279" s="360" t="s">
        <v>1438</v>
      </c>
      <c r="D279" s="361" t="s">
        <v>401</v>
      </c>
      <c r="E279" s="361" t="s">
        <v>112</v>
      </c>
      <c r="F279" s="362">
        <v>6.69</v>
      </c>
      <c r="G279" s="359">
        <f t="shared" si="25"/>
        <v>7.66899</v>
      </c>
      <c r="H279" s="387">
        <f t="shared" si="26"/>
        <v>51.305543100000001</v>
      </c>
    </row>
    <row r="280" spans="2:12" ht="25.5">
      <c r="B280" s="388" t="s">
        <v>1439</v>
      </c>
      <c r="C280" s="360" t="s">
        <v>1440</v>
      </c>
      <c r="D280" s="361" t="s">
        <v>401</v>
      </c>
      <c r="E280" s="361" t="s">
        <v>112</v>
      </c>
      <c r="F280" s="362">
        <v>57.1</v>
      </c>
      <c r="G280" s="359">
        <f t="shared" si="25"/>
        <v>7.66899</v>
      </c>
      <c r="H280" s="387">
        <f t="shared" si="26"/>
        <v>437.89932900000002</v>
      </c>
    </row>
    <row r="281" spans="2:12" ht="25.5">
      <c r="B281" s="388" t="s">
        <v>1441</v>
      </c>
      <c r="C281" s="360" t="s">
        <v>1442</v>
      </c>
      <c r="D281" s="361" t="s">
        <v>401</v>
      </c>
      <c r="E281" s="361" t="s">
        <v>112</v>
      </c>
      <c r="F281" s="362">
        <v>8.6</v>
      </c>
      <c r="G281" s="359">
        <f t="shared" si="25"/>
        <v>7.66899</v>
      </c>
      <c r="H281" s="387">
        <f t="shared" si="26"/>
        <v>65.953313999999992</v>
      </c>
    </row>
    <row r="282" spans="2:12" ht="25.5">
      <c r="B282" s="388" t="s">
        <v>1443</v>
      </c>
      <c r="C282" s="360" t="s">
        <v>1444</v>
      </c>
      <c r="D282" s="361" t="s">
        <v>401</v>
      </c>
      <c r="E282" s="361" t="s">
        <v>112</v>
      </c>
      <c r="F282" s="362">
        <v>45.15</v>
      </c>
      <c r="G282" s="359">
        <f t="shared" si="25"/>
        <v>7.66899</v>
      </c>
      <c r="H282" s="387">
        <f t="shared" si="26"/>
        <v>346.25489849999997</v>
      </c>
    </row>
    <row r="283" spans="2:12" ht="25.5">
      <c r="B283" s="388" t="s">
        <v>1445</v>
      </c>
      <c r="C283" s="360" t="s">
        <v>1446</v>
      </c>
      <c r="D283" s="361" t="s">
        <v>401</v>
      </c>
      <c r="E283" s="361" t="s">
        <v>112</v>
      </c>
      <c r="F283" s="362">
        <v>6.16</v>
      </c>
      <c r="G283" s="359">
        <f t="shared" si="25"/>
        <v>7.66899</v>
      </c>
      <c r="H283" s="387">
        <f t="shared" si="26"/>
        <v>47.240978400000003</v>
      </c>
    </row>
    <row r="284" spans="2:12" ht="25.5">
      <c r="B284" s="388" t="s">
        <v>1447</v>
      </c>
      <c r="C284" s="360" t="s">
        <v>1448</v>
      </c>
      <c r="D284" s="361" t="s">
        <v>401</v>
      </c>
      <c r="E284" s="361" t="s">
        <v>112</v>
      </c>
      <c r="F284" s="362">
        <v>34.44</v>
      </c>
      <c r="G284" s="359">
        <f t="shared" si="25"/>
        <v>7.66899</v>
      </c>
      <c r="H284" s="387">
        <f t="shared" si="26"/>
        <v>264.12001559999999</v>
      </c>
    </row>
    <row r="285" spans="2:12">
      <c r="B285" s="388" t="s">
        <v>1449</v>
      </c>
      <c r="C285" s="360" t="s">
        <v>1450</v>
      </c>
      <c r="D285" s="361" t="s">
        <v>401</v>
      </c>
      <c r="E285" s="361" t="s">
        <v>1451</v>
      </c>
      <c r="F285" s="362">
        <v>6</v>
      </c>
      <c r="G285" s="359">
        <f>45.28*1.2173</f>
        <v>55.119344000000005</v>
      </c>
      <c r="H285" s="387">
        <f t="shared" si="26"/>
        <v>330.71606400000002</v>
      </c>
    </row>
    <row r="286" spans="2:12">
      <c r="B286" s="388" t="s">
        <v>1452</v>
      </c>
      <c r="C286" s="360" t="s">
        <v>1453</v>
      </c>
      <c r="D286" s="361" t="s">
        <v>401</v>
      </c>
      <c r="E286" s="361" t="s">
        <v>37</v>
      </c>
      <c r="F286" s="362">
        <v>6</v>
      </c>
      <c r="G286" s="359">
        <f>49.4*1.2173</f>
        <v>60.134619999999998</v>
      </c>
      <c r="H286" s="387">
        <f t="shared" si="26"/>
        <v>360.80772000000002</v>
      </c>
    </row>
    <row r="287" spans="2:12" ht="25.5">
      <c r="B287" s="388">
        <v>11002</v>
      </c>
      <c r="C287" s="360" t="s">
        <v>1454</v>
      </c>
      <c r="D287" s="361" t="s">
        <v>401</v>
      </c>
      <c r="E287" s="361" t="s">
        <v>112</v>
      </c>
      <c r="F287" s="362">
        <v>2.5</v>
      </c>
      <c r="G287" s="359">
        <v>34.57</v>
      </c>
      <c r="H287" s="387">
        <f t="shared" si="26"/>
        <v>86.424999999999997</v>
      </c>
    </row>
    <row r="288" spans="2:12" ht="38.25">
      <c r="B288" s="388">
        <v>11964</v>
      </c>
      <c r="C288" s="360" t="s">
        <v>1456</v>
      </c>
      <c r="D288" s="361" t="s">
        <v>401</v>
      </c>
      <c r="E288" s="361" t="s">
        <v>37</v>
      </c>
      <c r="F288" s="362">
        <v>8</v>
      </c>
      <c r="G288" s="359">
        <v>2.66</v>
      </c>
      <c r="H288" s="387">
        <f t="shared" si="26"/>
        <v>21.28</v>
      </c>
    </row>
    <row r="289" spans="2:8" ht="25.5">
      <c r="B289" s="388">
        <v>20259</v>
      </c>
      <c r="C289" s="360" t="s">
        <v>1457</v>
      </c>
      <c r="D289" s="361" t="s">
        <v>401</v>
      </c>
      <c r="E289" s="361" t="s">
        <v>15</v>
      </c>
      <c r="F289" s="362">
        <v>70</v>
      </c>
      <c r="G289" s="359">
        <v>15</v>
      </c>
      <c r="H289" s="387">
        <f t="shared" si="26"/>
        <v>1050</v>
      </c>
    </row>
    <row r="290" spans="2:8" ht="38.25">
      <c r="B290" s="388" t="s">
        <v>1460</v>
      </c>
      <c r="C290" s="360" t="s">
        <v>1461</v>
      </c>
      <c r="D290" s="361" t="s">
        <v>12</v>
      </c>
      <c r="E290" s="361" t="s">
        <v>24</v>
      </c>
      <c r="F290" s="362">
        <v>10.38</v>
      </c>
      <c r="G290" s="359">
        <f>15.79*1.2173</f>
        <v>19.221167000000001</v>
      </c>
      <c r="H290" s="387">
        <f t="shared" si="26"/>
        <v>199.51571346000003</v>
      </c>
    </row>
    <row r="291" spans="2:8" ht="51">
      <c r="B291" s="388">
        <v>7568</v>
      </c>
      <c r="C291" s="360" t="s">
        <v>1462</v>
      </c>
      <c r="D291" s="361" t="s">
        <v>401</v>
      </c>
      <c r="E291" s="361" t="s">
        <v>37</v>
      </c>
      <c r="F291" s="362">
        <v>4</v>
      </c>
      <c r="G291" s="359">
        <v>1.1000000000000001</v>
      </c>
      <c r="H291" s="387">
        <f t="shared" si="26"/>
        <v>4.4000000000000004</v>
      </c>
    </row>
    <row r="292" spans="2:8" ht="25.5">
      <c r="B292" s="388" t="s">
        <v>1355</v>
      </c>
      <c r="C292" s="360" t="s">
        <v>1356</v>
      </c>
      <c r="D292" s="361" t="s">
        <v>12</v>
      </c>
      <c r="E292" s="361" t="s">
        <v>1128</v>
      </c>
      <c r="F292" s="362">
        <v>33.200000000000003</v>
      </c>
      <c r="G292" s="359">
        <v>20.5</v>
      </c>
      <c r="H292" s="387">
        <f t="shared" si="26"/>
        <v>680.6</v>
      </c>
    </row>
    <row r="293" spans="2:8" ht="25.5">
      <c r="B293" s="388" t="s">
        <v>1388</v>
      </c>
      <c r="C293" s="360" t="s">
        <v>1389</v>
      </c>
      <c r="D293" s="361" t="s">
        <v>12</v>
      </c>
      <c r="E293" s="361" t="s">
        <v>1128</v>
      </c>
      <c r="F293" s="362">
        <v>16.600000000000001</v>
      </c>
      <c r="G293" s="359">
        <v>26.05</v>
      </c>
      <c r="H293" s="387">
        <f>F293*G293</f>
        <v>432.43000000000006</v>
      </c>
    </row>
    <row r="294" spans="2:8">
      <c r="B294" s="720" t="s">
        <v>1231</v>
      </c>
      <c r="C294" s="721"/>
      <c r="D294" s="721"/>
      <c r="E294" s="721"/>
      <c r="F294" s="721"/>
      <c r="G294" s="722"/>
      <c r="H294" s="389">
        <f>SUM(H277:H293)</f>
        <v>5392.0221550600008</v>
      </c>
    </row>
    <row r="295" spans="2:8">
      <c r="B295" s="702"/>
      <c r="C295" s="703"/>
      <c r="D295" s="703"/>
      <c r="E295" s="703"/>
      <c r="F295" s="703"/>
      <c r="G295" s="703"/>
      <c r="H295" s="704"/>
    </row>
    <row r="296" spans="2:8" ht="38.25">
      <c r="B296" s="367" t="s">
        <v>1983</v>
      </c>
      <c r="C296" s="368" t="s">
        <v>1821</v>
      </c>
      <c r="D296" s="369" t="s">
        <v>12</v>
      </c>
      <c r="E296" s="369" t="s">
        <v>37</v>
      </c>
      <c r="F296" s="370"/>
      <c r="G296" s="356"/>
      <c r="H296" s="371"/>
    </row>
    <row r="297" spans="2:8" ht="25.5">
      <c r="B297" s="358" t="s">
        <v>1435</v>
      </c>
      <c r="C297" s="360" t="s">
        <v>1436</v>
      </c>
      <c r="D297" s="361" t="s">
        <v>401</v>
      </c>
      <c r="E297" s="361" t="s">
        <v>112</v>
      </c>
      <c r="F297" s="362">
        <v>44.4</v>
      </c>
      <c r="G297" s="359">
        <f t="shared" ref="G297:G303" si="27">6.3*1.2173</f>
        <v>7.66899</v>
      </c>
      <c r="H297" s="363">
        <f>F297*G297</f>
        <v>340.50315599999999</v>
      </c>
    </row>
    <row r="298" spans="2:8" ht="25.5">
      <c r="B298" s="358" t="s">
        <v>1437</v>
      </c>
      <c r="C298" s="360" t="s">
        <v>1438</v>
      </c>
      <c r="D298" s="361" t="s">
        <v>401</v>
      </c>
      <c r="E298" s="361" t="s">
        <v>112</v>
      </c>
      <c r="F298" s="362">
        <v>6.69</v>
      </c>
      <c r="G298" s="359">
        <f t="shared" si="27"/>
        <v>7.66899</v>
      </c>
      <c r="H298" s="363">
        <f t="shared" ref="H298:H314" si="28">F298*G298</f>
        <v>51.305543100000001</v>
      </c>
    </row>
    <row r="299" spans="2:8" ht="25.5">
      <c r="B299" s="358" t="s">
        <v>1439</v>
      </c>
      <c r="C299" s="360" t="s">
        <v>1440</v>
      </c>
      <c r="D299" s="361" t="s">
        <v>401</v>
      </c>
      <c r="E299" s="361" t="s">
        <v>112</v>
      </c>
      <c r="F299" s="362">
        <v>19.149999999999999</v>
      </c>
      <c r="G299" s="359">
        <f t="shared" si="27"/>
        <v>7.66899</v>
      </c>
      <c r="H299" s="363">
        <f t="shared" si="28"/>
        <v>146.86115849999999</v>
      </c>
    </row>
    <row r="300" spans="2:8" ht="25.5">
      <c r="B300" s="358" t="s">
        <v>1441</v>
      </c>
      <c r="C300" s="360" t="s">
        <v>1442</v>
      </c>
      <c r="D300" s="361" t="s">
        <v>401</v>
      </c>
      <c r="E300" s="361" t="s">
        <v>112</v>
      </c>
      <c r="F300" s="362">
        <v>5.74</v>
      </c>
      <c r="G300" s="359">
        <f t="shared" si="27"/>
        <v>7.66899</v>
      </c>
      <c r="H300" s="363">
        <f t="shared" si="28"/>
        <v>44.020002599999998</v>
      </c>
    </row>
    <row r="301" spans="2:8" ht="25.5">
      <c r="B301" s="358" t="s">
        <v>1443</v>
      </c>
      <c r="C301" s="360" t="s">
        <v>1444</v>
      </c>
      <c r="D301" s="361" t="s">
        <v>401</v>
      </c>
      <c r="E301" s="361" t="s">
        <v>112</v>
      </c>
      <c r="F301" s="362">
        <v>32.25</v>
      </c>
      <c r="G301" s="359">
        <f t="shared" si="27"/>
        <v>7.66899</v>
      </c>
      <c r="H301" s="363">
        <f t="shared" si="28"/>
        <v>247.3249275</v>
      </c>
    </row>
    <row r="302" spans="2:8" ht="25.5">
      <c r="B302" s="358" t="s">
        <v>1445</v>
      </c>
      <c r="C302" s="360" t="s">
        <v>1446</v>
      </c>
      <c r="D302" s="361" t="s">
        <v>401</v>
      </c>
      <c r="E302" s="361" t="s">
        <v>112</v>
      </c>
      <c r="F302" s="362">
        <v>5.12</v>
      </c>
      <c r="G302" s="359">
        <f t="shared" si="27"/>
        <v>7.66899</v>
      </c>
      <c r="H302" s="363">
        <f t="shared" si="28"/>
        <v>39.265228800000003</v>
      </c>
    </row>
    <row r="303" spans="2:8" ht="25.5">
      <c r="B303" s="358" t="s">
        <v>1447</v>
      </c>
      <c r="C303" s="360" t="s">
        <v>1448</v>
      </c>
      <c r="D303" s="361" t="s">
        <v>401</v>
      </c>
      <c r="E303" s="361" t="s">
        <v>112</v>
      </c>
      <c r="F303" s="362">
        <v>16.34</v>
      </c>
      <c r="G303" s="359">
        <f t="shared" si="27"/>
        <v>7.66899</v>
      </c>
      <c r="H303" s="363">
        <f t="shared" si="28"/>
        <v>125.31129659999999</v>
      </c>
    </row>
    <row r="304" spans="2:8">
      <c r="B304" s="358" t="s">
        <v>1449</v>
      </c>
      <c r="C304" s="360" t="s">
        <v>1450</v>
      </c>
      <c r="D304" s="361" t="s">
        <v>401</v>
      </c>
      <c r="E304" s="361" t="s">
        <v>1451</v>
      </c>
      <c r="F304" s="362">
        <v>4</v>
      </c>
      <c r="G304" s="359">
        <f>45.28*1.2173</f>
        <v>55.119344000000005</v>
      </c>
      <c r="H304" s="363">
        <f t="shared" si="28"/>
        <v>220.47737600000002</v>
      </c>
    </row>
    <row r="305" spans="2:8">
      <c r="B305" s="358" t="s">
        <v>1452</v>
      </c>
      <c r="C305" s="360" t="s">
        <v>1453</v>
      </c>
      <c r="D305" s="361" t="s">
        <v>401</v>
      </c>
      <c r="E305" s="361" t="s">
        <v>37</v>
      </c>
      <c r="F305" s="362">
        <v>4</v>
      </c>
      <c r="G305" s="359">
        <f>49.4*1.2173</f>
        <v>60.134619999999998</v>
      </c>
      <c r="H305" s="363">
        <f t="shared" si="28"/>
        <v>240.53847999999999</v>
      </c>
    </row>
    <row r="306" spans="2:8" ht="25.5">
      <c r="B306" s="358">
        <v>11002</v>
      </c>
      <c r="C306" s="360" t="s">
        <v>1454</v>
      </c>
      <c r="D306" s="361" t="s">
        <v>401</v>
      </c>
      <c r="E306" s="361" t="s">
        <v>112</v>
      </c>
      <c r="F306" s="362">
        <v>0.4</v>
      </c>
      <c r="G306" s="359">
        <v>34.57</v>
      </c>
      <c r="H306" s="363">
        <f t="shared" si="28"/>
        <v>13.828000000000001</v>
      </c>
    </row>
    <row r="307" spans="2:8" ht="38.25">
      <c r="B307" s="358">
        <v>11058</v>
      </c>
      <c r="C307" s="360" t="s">
        <v>1455</v>
      </c>
      <c r="D307" s="361" t="s">
        <v>401</v>
      </c>
      <c r="E307" s="361" t="s">
        <v>37</v>
      </c>
      <c r="F307" s="362">
        <v>20</v>
      </c>
      <c r="G307" s="359">
        <v>0.55000000000000004</v>
      </c>
      <c r="H307" s="363">
        <f t="shared" si="28"/>
        <v>11</v>
      </c>
    </row>
    <row r="308" spans="2:8" ht="38.25">
      <c r="B308" s="358">
        <v>11964</v>
      </c>
      <c r="C308" s="360" t="s">
        <v>1456</v>
      </c>
      <c r="D308" s="361" t="s">
        <v>401</v>
      </c>
      <c r="E308" s="361" t="s">
        <v>37</v>
      </c>
      <c r="F308" s="362">
        <v>3</v>
      </c>
      <c r="G308" s="359">
        <v>2.66</v>
      </c>
      <c r="H308" s="363">
        <f t="shared" si="28"/>
        <v>7.98</v>
      </c>
    </row>
    <row r="309" spans="2:8" ht="25.5">
      <c r="B309" s="358">
        <v>20259</v>
      </c>
      <c r="C309" s="360" t="s">
        <v>1457</v>
      </c>
      <c r="D309" s="361" t="s">
        <v>401</v>
      </c>
      <c r="E309" s="361" t="s">
        <v>15</v>
      </c>
      <c r="F309" s="362">
        <v>47</v>
      </c>
      <c r="G309" s="359">
        <v>15</v>
      </c>
      <c r="H309" s="363">
        <f t="shared" si="28"/>
        <v>705</v>
      </c>
    </row>
    <row r="310" spans="2:8" ht="38.25">
      <c r="B310" s="358" t="s">
        <v>1460</v>
      </c>
      <c r="C310" s="360" t="s">
        <v>1461</v>
      </c>
      <c r="D310" s="361" t="s">
        <v>12</v>
      </c>
      <c r="E310" s="361" t="s">
        <v>24</v>
      </c>
      <c r="F310" s="362">
        <v>4.5999999999999996</v>
      </c>
      <c r="G310" s="359">
        <f>15.79*1.2173</f>
        <v>19.221167000000001</v>
      </c>
      <c r="H310" s="363">
        <f t="shared" si="28"/>
        <v>88.417368199999999</v>
      </c>
    </row>
    <row r="311" spans="2:8" ht="51">
      <c r="B311" s="358">
        <v>7568</v>
      </c>
      <c r="C311" s="360" t="s">
        <v>1462</v>
      </c>
      <c r="D311" s="361" t="s">
        <v>401</v>
      </c>
      <c r="E311" s="361" t="s">
        <v>37</v>
      </c>
      <c r="F311" s="362">
        <v>2</v>
      </c>
      <c r="G311" s="359">
        <v>1.1000000000000001</v>
      </c>
      <c r="H311" s="363">
        <f t="shared" si="28"/>
        <v>2.2000000000000002</v>
      </c>
    </row>
    <row r="312" spans="2:8" ht="25.5">
      <c r="B312" s="358" t="s">
        <v>1463</v>
      </c>
      <c r="C312" s="360" t="s">
        <v>1464</v>
      </c>
      <c r="D312" s="361" t="s">
        <v>12</v>
      </c>
      <c r="E312" s="361" t="s">
        <v>15</v>
      </c>
      <c r="F312" s="362">
        <v>1</v>
      </c>
      <c r="G312" s="359">
        <v>87.24</v>
      </c>
      <c r="H312" s="363">
        <f t="shared" si="28"/>
        <v>87.24</v>
      </c>
    </row>
    <row r="313" spans="2:8" ht="25.5">
      <c r="B313" s="358" t="s">
        <v>1355</v>
      </c>
      <c r="C313" s="360" t="s">
        <v>1356</v>
      </c>
      <c r="D313" s="361" t="s">
        <v>12</v>
      </c>
      <c r="E313" s="361" t="s">
        <v>1128</v>
      </c>
      <c r="F313" s="362">
        <v>25.6</v>
      </c>
      <c r="G313" s="359">
        <v>20.5</v>
      </c>
      <c r="H313" s="363">
        <f t="shared" si="28"/>
        <v>524.80000000000007</v>
      </c>
    </row>
    <row r="314" spans="2:8" ht="25.5">
      <c r="B314" s="358" t="s">
        <v>1388</v>
      </c>
      <c r="C314" s="360" t="s">
        <v>1389</v>
      </c>
      <c r="D314" s="361" t="s">
        <v>12</v>
      </c>
      <c r="E314" s="361" t="s">
        <v>1128</v>
      </c>
      <c r="F314" s="362">
        <v>12.8</v>
      </c>
      <c r="G314" s="359">
        <v>26.05</v>
      </c>
      <c r="H314" s="363">
        <f t="shared" si="28"/>
        <v>333.44000000000005</v>
      </c>
    </row>
    <row r="315" spans="2:8">
      <c r="B315" s="699" t="s">
        <v>1231</v>
      </c>
      <c r="C315" s="700"/>
      <c r="D315" s="700"/>
      <c r="E315" s="700"/>
      <c r="F315" s="700"/>
      <c r="G315" s="701"/>
      <c r="H315" s="364">
        <f>SUM(H297:H314)</f>
        <v>3229.5125372999996</v>
      </c>
    </row>
    <row r="316" spans="2:8">
      <c r="B316" s="720"/>
      <c r="C316" s="721"/>
      <c r="D316" s="721"/>
      <c r="E316" s="721"/>
      <c r="F316" s="721"/>
      <c r="G316" s="721"/>
      <c r="H316" s="722"/>
    </row>
    <row r="317" spans="2:8" ht="38.25">
      <c r="B317" s="384" t="s">
        <v>1984</v>
      </c>
      <c r="C317" s="385" t="s">
        <v>1822</v>
      </c>
      <c r="D317" s="386" t="s">
        <v>12</v>
      </c>
      <c r="E317" s="386" t="s">
        <v>37</v>
      </c>
      <c r="F317" s="362"/>
      <c r="G317" s="359"/>
      <c r="H317" s="387"/>
    </row>
    <row r="318" spans="2:8" ht="25.5">
      <c r="B318" s="388" t="s">
        <v>1435</v>
      </c>
      <c r="C318" s="360" t="s">
        <v>1436</v>
      </c>
      <c r="D318" s="361" t="s">
        <v>401</v>
      </c>
      <c r="E318" s="361" t="s">
        <v>112</v>
      </c>
      <c r="F318" s="362">
        <v>44.4</v>
      </c>
      <c r="G318" s="359">
        <f t="shared" ref="G318:G324" si="29">6.3*1.2173</f>
        <v>7.66899</v>
      </c>
      <c r="H318" s="387">
        <f>F318*G318</f>
        <v>340.50315599999999</v>
      </c>
    </row>
    <row r="319" spans="2:8" ht="25.5">
      <c r="B319" s="388" t="s">
        <v>1437</v>
      </c>
      <c r="C319" s="360" t="s">
        <v>1438</v>
      </c>
      <c r="D319" s="361" t="s">
        <v>401</v>
      </c>
      <c r="E319" s="361" t="s">
        <v>112</v>
      </c>
      <c r="F319" s="362">
        <v>6.69</v>
      </c>
      <c r="G319" s="359">
        <f t="shared" si="29"/>
        <v>7.66899</v>
      </c>
      <c r="H319" s="387">
        <f t="shared" ref="H319:H334" si="30">F319*G319</f>
        <v>51.305543100000001</v>
      </c>
    </row>
    <row r="320" spans="2:8" ht="25.5">
      <c r="B320" s="388" t="s">
        <v>1439</v>
      </c>
      <c r="C320" s="360" t="s">
        <v>1440</v>
      </c>
      <c r="D320" s="361" t="s">
        <v>401</v>
      </c>
      <c r="E320" s="361" t="s">
        <v>112</v>
      </c>
      <c r="F320" s="362">
        <v>19.149999999999999</v>
      </c>
      <c r="G320" s="359">
        <f t="shared" si="29"/>
        <v>7.66899</v>
      </c>
      <c r="H320" s="387">
        <f t="shared" si="30"/>
        <v>146.86115849999999</v>
      </c>
    </row>
    <row r="321" spans="2:8" ht="25.5">
      <c r="B321" s="388" t="s">
        <v>1441</v>
      </c>
      <c r="C321" s="360" t="s">
        <v>1442</v>
      </c>
      <c r="D321" s="361" t="s">
        <v>401</v>
      </c>
      <c r="E321" s="361" t="s">
        <v>112</v>
      </c>
      <c r="F321" s="362">
        <v>5.74</v>
      </c>
      <c r="G321" s="359">
        <f t="shared" si="29"/>
        <v>7.66899</v>
      </c>
      <c r="H321" s="387">
        <f t="shared" si="30"/>
        <v>44.020002599999998</v>
      </c>
    </row>
    <row r="322" spans="2:8" ht="25.5">
      <c r="B322" s="388" t="s">
        <v>1443</v>
      </c>
      <c r="C322" s="360" t="s">
        <v>1444</v>
      </c>
      <c r="D322" s="361" t="s">
        <v>401</v>
      </c>
      <c r="E322" s="361" t="s">
        <v>112</v>
      </c>
      <c r="F322" s="362">
        <v>32.25</v>
      </c>
      <c r="G322" s="359">
        <f t="shared" si="29"/>
        <v>7.66899</v>
      </c>
      <c r="H322" s="387">
        <f t="shared" si="30"/>
        <v>247.3249275</v>
      </c>
    </row>
    <row r="323" spans="2:8" ht="25.5">
      <c r="B323" s="388" t="s">
        <v>1445</v>
      </c>
      <c r="C323" s="360" t="s">
        <v>1446</v>
      </c>
      <c r="D323" s="361" t="s">
        <v>401</v>
      </c>
      <c r="E323" s="361" t="s">
        <v>112</v>
      </c>
      <c r="F323" s="362">
        <v>5.12</v>
      </c>
      <c r="G323" s="359">
        <f t="shared" si="29"/>
        <v>7.66899</v>
      </c>
      <c r="H323" s="387">
        <f t="shared" si="30"/>
        <v>39.265228800000003</v>
      </c>
    </row>
    <row r="324" spans="2:8" ht="25.5">
      <c r="B324" s="388" t="s">
        <v>1447</v>
      </c>
      <c r="C324" s="360" t="s">
        <v>1448</v>
      </c>
      <c r="D324" s="361" t="s">
        <v>401</v>
      </c>
      <c r="E324" s="361" t="s">
        <v>112</v>
      </c>
      <c r="F324" s="362">
        <v>16.34</v>
      </c>
      <c r="G324" s="359">
        <f t="shared" si="29"/>
        <v>7.66899</v>
      </c>
      <c r="H324" s="387">
        <f t="shared" si="30"/>
        <v>125.31129659999999</v>
      </c>
    </row>
    <row r="325" spans="2:8">
      <c r="B325" s="388" t="s">
        <v>1449</v>
      </c>
      <c r="C325" s="360" t="s">
        <v>1450</v>
      </c>
      <c r="D325" s="361" t="s">
        <v>401</v>
      </c>
      <c r="E325" s="361" t="s">
        <v>1451</v>
      </c>
      <c r="F325" s="362">
        <v>4</v>
      </c>
      <c r="G325" s="359">
        <f>45.28*1.2173</f>
        <v>55.119344000000005</v>
      </c>
      <c r="H325" s="387">
        <f t="shared" si="30"/>
        <v>220.47737600000002</v>
      </c>
    </row>
    <row r="326" spans="2:8">
      <c r="B326" s="388" t="s">
        <v>1452</v>
      </c>
      <c r="C326" s="360" t="s">
        <v>1453</v>
      </c>
      <c r="D326" s="361" t="s">
        <v>401</v>
      </c>
      <c r="E326" s="361" t="s">
        <v>37</v>
      </c>
      <c r="F326" s="362">
        <v>4</v>
      </c>
      <c r="G326" s="359">
        <f>49.4*1.2173</f>
        <v>60.134619999999998</v>
      </c>
      <c r="H326" s="387">
        <f t="shared" si="30"/>
        <v>240.53847999999999</v>
      </c>
    </row>
    <row r="327" spans="2:8" ht="25.5">
      <c r="B327" s="388">
        <v>11002</v>
      </c>
      <c r="C327" s="360" t="s">
        <v>1454</v>
      </c>
      <c r="D327" s="361" t="s">
        <v>401</v>
      </c>
      <c r="E327" s="361" t="s">
        <v>112</v>
      </c>
      <c r="F327" s="362">
        <v>0.35</v>
      </c>
      <c r="G327" s="359">
        <v>34.57</v>
      </c>
      <c r="H327" s="387">
        <f t="shared" si="30"/>
        <v>12.099499999999999</v>
      </c>
    </row>
    <row r="328" spans="2:8" ht="38.25">
      <c r="B328" s="388">
        <v>11964</v>
      </c>
      <c r="C328" s="360" t="s">
        <v>1456</v>
      </c>
      <c r="D328" s="361" t="s">
        <v>401</v>
      </c>
      <c r="E328" s="361" t="s">
        <v>37</v>
      </c>
      <c r="F328" s="362">
        <v>3</v>
      </c>
      <c r="G328" s="359">
        <v>2.66</v>
      </c>
      <c r="H328" s="387">
        <f t="shared" si="30"/>
        <v>7.98</v>
      </c>
    </row>
    <row r="329" spans="2:8" ht="25.5">
      <c r="B329" s="388">
        <v>20259</v>
      </c>
      <c r="C329" s="360" t="s">
        <v>1457</v>
      </c>
      <c r="D329" s="361" t="s">
        <v>401</v>
      </c>
      <c r="E329" s="361" t="s">
        <v>15</v>
      </c>
      <c r="F329" s="362">
        <v>47</v>
      </c>
      <c r="G329" s="359">
        <v>15</v>
      </c>
      <c r="H329" s="387">
        <f t="shared" si="30"/>
        <v>705</v>
      </c>
    </row>
    <row r="330" spans="2:8" ht="38.25">
      <c r="B330" s="388" t="s">
        <v>1460</v>
      </c>
      <c r="C330" s="360" t="s">
        <v>1461</v>
      </c>
      <c r="D330" s="361" t="s">
        <v>12</v>
      </c>
      <c r="E330" s="361" t="s">
        <v>24</v>
      </c>
      <c r="F330" s="362">
        <v>4.5</v>
      </c>
      <c r="G330" s="359">
        <f>15.79*1.2173</f>
        <v>19.221167000000001</v>
      </c>
      <c r="H330" s="387">
        <f t="shared" si="30"/>
        <v>86.495251500000009</v>
      </c>
    </row>
    <row r="331" spans="2:8" ht="51">
      <c r="B331" s="388">
        <v>7568</v>
      </c>
      <c r="C331" s="360" t="s">
        <v>1462</v>
      </c>
      <c r="D331" s="361" t="s">
        <v>401</v>
      </c>
      <c r="E331" s="361" t="s">
        <v>37</v>
      </c>
      <c r="F331" s="362">
        <v>2</v>
      </c>
      <c r="G331" s="359">
        <v>1.1000000000000001</v>
      </c>
      <c r="H331" s="387">
        <f t="shared" si="30"/>
        <v>2.2000000000000002</v>
      </c>
    </row>
    <row r="332" spans="2:8" ht="25.5">
      <c r="B332" s="388" t="s">
        <v>1463</v>
      </c>
      <c r="C332" s="360" t="s">
        <v>1464</v>
      </c>
      <c r="D332" s="361" t="s">
        <v>12</v>
      </c>
      <c r="E332" s="361" t="s">
        <v>15</v>
      </c>
      <c r="F332" s="362">
        <v>1</v>
      </c>
      <c r="G332" s="359">
        <v>87.24</v>
      </c>
      <c r="H332" s="387">
        <f t="shared" si="30"/>
        <v>87.24</v>
      </c>
    </row>
    <row r="333" spans="2:8" ht="25.5">
      <c r="B333" s="388" t="s">
        <v>1355</v>
      </c>
      <c r="C333" s="360" t="s">
        <v>1356</v>
      </c>
      <c r="D333" s="361" t="s">
        <v>12</v>
      </c>
      <c r="E333" s="361" t="s">
        <v>1128</v>
      </c>
      <c r="F333" s="362">
        <v>25.6</v>
      </c>
      <c r="G333" s="359">
        <v>20.5</v>
      </c>
      <c r="H333" s="387">
        <f t="shared" si="30"/>
        <v>524.80000000000007</v>
      </c>
    </row>
    <row r="334" spans="2:8" ht="25.5">
      <c r="B334" s="388" t="s">
        <v>1388</v>
      </c>
      <c r="C334" s="360" t="s">
        <v>1389</v>
      </c>
      <c r="D334" s="361" t="s">
        <v>12</v>
      </c>
      <c r="E334" s="361" t="s">
        <v>1128</v>
      </c>
      <c r="F334" s="362">
        <v>12.8</v>
      </c>
      <c r="G334" s="359">
        <v>26.05</v>
      </c>
      <c r="H334" s="387">
        <f t="shared" si="30"/>
        <v>333.44000000000005</v>
      </c>
    </row>
    <row r="335" spans="2:8" ht="15" customHeight="1">
      <c r="B335" s="720" t="s">
        <v>1231</v>
      </c>
      <c r="C335" s="721"/>
      <c r="D335" s="721"/>
      <c r="E335" s="721"/>
      <c r="F335" s="721"/>
      <c r="G335" s="722"/>
      <c r="H335" s="389">
        <f>SUM(H318:H334)</f>
        <v>3214.8619205999998</v>
      </c>
    </row>
    <row r="336" spans="2:8">
      <c r="B336" s="702"/>
      <c r="C336" s="703"/>
      <c r="D336" s="703"/>
      <c r="E336" s="703"/>
      <c r="F336" s="703"/>
      <c r="G336" s="703"/>
      <c r="H336" s="704"/>
    </row>
    <row r="337" spans="2:8" ht="38.25">
      <c r="B337" s="367" t="s">
        <v>1985</v>
      </c>
      <c r="C337" s="368" t="s">
        <v>1823</v>
      </c>
      <c r="D337" s="369" t="s">
        <v>12</v>
      </c>
      <c r="E337" s="369" t="s">
        <v>37</v>
      </c>
      <c r="F337" s="370"/>
      <c r="G337" s="356"/>
      <c r="H337" s="371"/>
    </row>
    <row r="338" spans="2:8" ht="25.5">
      <c r="B338" s="358" t="s">
        <v>1433</v>
      </c>
      <c r="C338" s="360" t="s">
        <v>1434</v>
      </c>
      <c r="D338" s="361" t="s">
        <v>401</v>
      </c>
      <c r="E338" s="361" t="s">
        <v>112</v>
      </c>
      <c r="F338" s="362">
        <v>32.200000000000003</v>
      </c>
      <c r="G338" s="359">
        <f t="shared" ref="G338:G345" si="31">6.3*1.2173</f>
        <v>7.66899</v>
      </c>
      <c r="H338" s="363">
        <f>F338*G338</f>
        <v>246.94147800000002</v>
      </c>
    </row>
    <row r="339" spans="2:8" ht="25.5">
      <c r="B339" s="358" t="s">
        <v>1435</v>
      </c>
      <c r="C339" s="360" t="s">
        <v>1436</v>
      </c>
      <c r="D339" s="361" t="s">
        <v>401</v>
      </c>
      <c r="E339" s="361" t="s">
        <v>112</v>
      </c>
      <c r="F339" s="362">
        <v>44.4</v>
      </c>
      <c r="G339" s="359">
        <f t="shared" si="31"/>
        <v>7.66899</v>
      </c>
      <c r="H339" s="363">
        <f t="shared" ref="H339:H354" si="32">F339*G339</f>
        <v>340.50315599999999</v>
      </c>
    </row>
    <row r="340" spans="2:8" ht="25.5">
      <c r="B340" s="358" t="s">
        <v>1437</v>
      </c>
      <c r="C340" s="360" t="s">
        <v>1438</v>
      </c>
      <c r="D340" s="361" t="s">
        <v>401</v>
      </c>
      <c r="E340" s="361" t="s">
        <v>112</v>
      </c>
      <c r="F340" s="362">
        <v>13.38</v>
      </c>
      <c r="G340" s="359">
        <f t="shared" si="31"/>
        <v>7.66899</v>
      </c>
      <c r="H340" s="363">
        <f t="shared" si="32"/>
        <v>102.6110862</v>
      </c>
    </row>
    <row r="341" spans="2:8" ht="25.5">
      <c r="B341" s="358" t="s">
        <v>1439</v>
      </c>
      <c r="C341" s="360" t="s">
        <v>1440</v>
      </c>
      <c r="D341" s="361" t="s">
        <v>401</v>
      </c>
      <c r="E341" s="361" t="s">
        <v>112</v>
      </c>
      <c r="F341" s="362">
        <v>48.78</v>
      </c>
      <c r="G341" s="359">
        <f t="shared" si="31"/>
        <v>7.66899</v>
      </c>
      <c r="H341" s="363">
        <f t="shared" si="32"/>
        <v>374.09333220000002</v>
      </c>
    </row>
    <row r="342" spans="2:8" ht="25.5">
      <c r="B342" s="358" t="s">
        <v>1441</v>
      </c>
      <c r="C342" s="360" t="s">
        <v>1442</v>
      </c>
      <c r="D342" s="361" t="s">
        <v>401</v>
      </c>
      <c r="E342" s="361" t="s">
        <v>112</v>
      </c>
      <c r="F342" s="362">
        <v>8.6</v>
      </c>
      <c r="G342" s="359">
        <f t="shared" si="31"/>
        <v>7.66899</v>
      </c>
      <c r="H342" s="363">
        <f t="shared" si="32"/>
        <v>65.953313999999992</v>
      </c>
    </row>
    <row r="343" spans="2:8" ht="25.5">
      <c r="B343" s="358" t="s">
        <v>1443</v>
      </c>
      <c r="C343" s="360" t="s">
        <v>1444</v>
      </c>
      <c r="D343" s="361" t="s">
        <v>401</v>
      </c>
      <c r="E343" s="361" t="s">
        <v>112</v>
      </c>
      <c r="F343" s="362">
        <v>15.48</v>
      </c>
      <c r="G343" s="359">
        <f t="shared" si="31"/>
        <v>7.66899</v>
      </c>
      <c r="H343" s="363">
        <f t="shared" si="32"/>
        <v>118.7159652</v>
      </c>
    </row>
    <row r="344" spans="2:8" ht="25.5">
      <c r="B344" s="358" t="s">
        <v>1445</v>
      </c>
      <c r="C344" s="360" t="s">
        <v>1446</v>
      </c>
      <c r="D344" s="361" t="s">
        <v>401</v>
      </c>
      <c r="E344" s="361" t="s">
        <v>112</v>
      </c>
      <c r="F344" s="362">
        <v>6.59</v>
      </c>
      <c r="G344" s="359">
        <f t="shared" si="31"/>
        <v>7.66899</v>
      </c>
      <c r="H344" s="363">
        <f t="shared" si="32"/>
        <v>50.538644099999999</v>
      </c>
    </row>
    <row r="345" spans="2:8" ht="25.5">
      <c r="B345" s="358" t="s">
        <v>1447</v>
      </c>
      <c r="C345" s="360" t="s">
        <v>1448</v>
      </c>
      <c r="D345" s="361" t="s">
        <v>401</v>
      </c>
      <c r="E345" s="361" t="s">
        <v>112</v>
      </c>
      <c r="F345" s="362">
        <v>30.16</v>
      </c>
      <c r="G345" s="359">
        <f t="shared" si="31"/>
        <v>7.66899</v>
      </c>
      <c r="H345" s="363">
        <f t="shared" si="32"/>
        <v>231.29673840000001</v>
      </c>
    </row>
    <row r="346" spans="2:8">
      <c r="B346" s="358" t="s">
        <v>1449</v>
      </c>
      <c r="C346" s="360" t="s">
        <v>1450</v>
      </c>
      <c r="D346" s="361" t="s">
        <v>401</v>
      </c>
      <c r="E346" s="361" t="s">
        <v>1451</v>
      </c>
      <c r="F346" s="362">
        <v>6</v>
      </c>
      <c r="G346" s="359">
        <f>45.28*1.2173</f>
        <v>55.119344000000005</v>
      </c>
      <c r="H346" s="363">
        <f t="shared" si="32"/>
        <v>330.71606400000002</v>
      </c>
    </row>
    <row r="347" spans="2:8">
      <c r="B347" s="358" t="s">
        <v>1452</v>
      </c>
      <c r="C347" s="360" t="s">
        <v>1453</v>
      </c>
      <c r="D347" s="361" t="s">
        <v>401</v>
      </c>
      <c r="E347" s="361" t="s">
        <v>37</v>
      </c>
      <c r="F347" s="362">
        <v>6</v>
      </c>
      <c r="G347" s="359">
        <f>49.4*1.2173</f>
        <v>60.134619999999998</v>
      </c>
      <c r="H347" s="363">
        <f t="shared" si="32"/>
        <v>360.80772000000002</v>
      </c>
    </row>
    <row r="348" spans="2:8" ht="25.5">
      <c r="B348" s="358">
        <v>11002</v>
      </c>
      <c r="C348" s="360" t="s">
        <v>1454</v>
      </c>
      <c r="D348" s="361" t="s">
        <v>401</v>
      </c>
      <c r="E348" s="361" t="s">
        <v>112</v>
      </c>
      <c r="F348" s="362">
        <v>1.2</v>
      </c>
      <c r="G348" s="359">
        <v>34.57</v>
      </c>
      <c r="H348" s="363">
        <f t="shared" si="32"/>
        <v>41.484000000000002</v>
      </c>
    </row>
    <row r="349" spans="2:8" ht="38.25">
      <c r="B349" s="358">
        <v>11964</v>
      </c>
      <c r="C349" s="360" t="s">
        <v>1456</v>
      </c>
      <c r="D349" s="361" t="s">
        <v>401</v>
      </c>
      <c r="E349" s="361" t="s">
        <v>37</v>
      </c>
      <c r="F349" s="362">
        <v>5</v>
      </c>
      <c r="G349" s="359">
        <v>2.66</v>
      </c>
      <c r="H349" s="363">
        <f t="shared" si="32"/>
        <v>13.3</v>
      </c>
    </row>
    <row r="350" spans="2:8" ht="25.5">
      <c r="B350" s="358">
        <v>20259</v>
      </c>
      <c r="C350" s="360" t="s">
        <v>1457</v>
      </c>
      <c r="D350" s="361" t="s">
        <v>401</v>
      </c>
      <c r="E350" s="361" t="s">
        <v>15</v>
      </c>
      <c r="F350" s="362">
        <v>36</v>
      </c>
      <c r="G350" s="359">
        <v>15</v>
      </c>
      <c r="H350" s="363">
        <f t="shared" si="32"/>
        <v>540</v>
      </c>
    </row>
    <row r="351" spans="2:8" ht="38.25">
      <c r="B351" s="358" t="s">
        <v>1460</v>
      </c>
      <c r="C351" s="360" t="s">
        <v>1461</v>
      </c>
      <c r="D351" s="361" t="s">
        <v>12</v>
      </c>
      <c r="E351" s="361" t="s">
        <v>24</v>
      </c>
      <c r="F351" s="362">
        <v>10.26</v>
      </c>
      <c r="G351" s="359">
        <f>15.79*1.2173</f>
        <v>19.221167000000001</v>
      </c>
      <c r="H351" s="363">
        <f t="shared" si="32"/>
        <v>197.20917342000001</v>
      </c>
    </row>
    <row r="352" spans="2:8" ht="51">
      <c r="B352" s="358">
        <v>7568</v>
      </c>
      <c r="C352" s="360" t="s">
        <v>1462</v>
      </c>
      <c r="D352" s="361" t="s">
        <v>401</v>
      </c>
      <c r="E352" s="361" t="s">
        <v>37</v>
      </c>
      <c r="F352" s="362">
        <v>4</v>
      </c>
      <c r="G352" s="359">
        <v>1.1000000000000001</v>
      </c>
      <c r="H352" s="363">
        <f t="shared" si="32"/>
        <v>4.4000000000000004</v>
      </c>
    </row>
    <row r="353" spans="2:8" ht="25.5">
      <c r="B353" s="358" t="s">
        <v>1355</v>
      </c>
      <c r="C353" s="360" t="s">
        <v>1356</v>
      </c>
      <c r="D353" s="361" t="s">
        <v>12</v>
      </c>
      <c r="E353" s="361" t="s">
        <v>1128</v>
      </c>
      <c r="F353" s="362">
        <v>28.6</v>
      </c>
      <c r="G353" s="359">
        <v>20.5</v>
      </c>
      <c r="H353" s="363">
        <f t="shared" si="32"/>
        <v>586.30000000000007</v>
      </c>
    </row>
    <row r="354" spans="2:8" ht="25.5">
      <c r="B354" s="358" t="s">
        <v>1388</v>
      </c>
      <c r="C354" s="360" t="s">
        <v>1389</v>
      </c>
      <c r="D354" s="361" t="s">
        <v>12</v>
      </c>
      <c r="E354" s="361" t="s">
        <v>1128</v>
      </c>
      <c r="F354" s="362">
        <v>14.3</v>
      </c>
      <c r="G354" s="359">
        <v>26.05</v>
      </c>
      <c r="H354" s="363">
        <f t="shared" si="32"/>
        <v>372.51500000000004</v>
      </c>
    </row>
    <row r="355" spans="2:8" ht="15" customHeight="1">
      <c r="B355" s="699" t="s">
        <v>1231</v>
      </c>
      <c r="C355" s="700"/>
      <c r="D355" s="700"/>
      <c r="E355" s="700"/>
      <c r="F355" s="700"/>
      <c r="G355" s="701"/>
      <c r="H355" s="364">
        <f>SUM(H338:H354)</f>
        <v>3977.3856715200004</v>
      </c>
    </row>
    <row r="356" spans="2:8">
      <c r="B356" s="702"/>
      <c r="C356" s="703"/>
      <c r="D356" s="703"/>
      <c r="E356" s="703"/>
      <c r="F356" s="703"/>
      <c r="G356" s="703"/>
      <c r="H356" s="704"/>
    </row>
    <row r="357" spans="2:8" ht="38.25">
      <c r="B357" s="367" t="s">
        <v>1986</v>
      </c>
      <c r="C357" s="368" t="s">
        <v>1824</v>
      </c>
      <c r="D357" s="369" t="s">
        <v>12</v>
      </c>
      <c r="E357" s="369" t="s">
        <v>37</v>
      </c>
      <c r="F357" s="370"/>
      <c r="G357" s="356"/>
      <c r="H357" s="371"/>
    </row>
    <row r="358" spans="2:8" ht="25.5">
      <c r="B358" s="358" t="s">
        <v>1433</v>
      </c>
      <c r="C358" s="360" t="s">
        <v>1434</v>
      </c>
      <c r="D358" s="361" t="s">
        <v>401</v>
      </c>
      <c r="E358" s="361" t="s">
        <v>112</v>
      </c>
      <c r="F358" s="362">
        <v>32.200000000000003</v>
      </c>
      <c r="G358" s="359">
        <f t="shared" ref="G358:G365" si="33">6.3*1.2173</f>
        <v>7.66899</v>
      </c>
      <c r="H358" s="363">
        <f>F358*G358</f>
        <v>246.94147800000002</v>
      </c>
    </row>
    <row r="359" spans="2:8" ht="25.5">
      <c r="B359" s="358" t="s">
        <v>1435</v>
      </c>
      <c r="C359" s="360" t="s">
        <v>1436</v>
      </c>
      <c r="D359" s="361" t="s">
        <v>401</v>
      </c>
      <c r="E359" s="361" t="s">
        <v>112</v>
      </c>
      <c r="F359" s="362">
        <v>44.4</v>
      </c>
      <c r="G359" s="359">
        <f t="shared" si="33"/>
        <v>7.66899</v>
      </c>
      <c r="H359" s="363">
        <f t="shared" ref="H359:H374" si="34">F359*G359</f>
        <v>340.50315599999999</v>
      </c>
    </row>
    <row r="360" spans="2:8" ht="25.5">
      <c r="B360" s="358" t="s">
        <v>1437</v>
      </c>
      <c r="C360" s="360" t="s">
        <v>1438</v>
      </c>
      <c r="D360" s="361" t="s">
        <v>401</v>
      </c>
      <c r="E360" s="361" t="s">
        <v>112</v>
      </c>
      <c r="F360" s="362">
        <v>13.38</v>
      </c>
      <c r="G360" s="359">
        <f t="shared" si="33"/>
        <v>7.66899</v>
      </c>
      <c r="H360" s="363">
        <f t="shared" si="34"/>
        <v>102.6110862</v>
      </c>
    </row>
    <row r="361" spans="2:8" ht="25.5">
      <c r="B361" s="358" t="s">
        <v>1439</v>
      </c>
      <c r="C361" s="360" t="s">
        <v>1440</v>
      </c>
      <c r="D361" s="361" t="s">
        <v>401</v>
      </c>
      <c r="E361" s="361" t="s">
        <v>112</v>
      </c>
      <c r="F361" s="362">
        <v>48.78</v>
      </c>
      <c r="G361" s="359">
        <f t="shared" si="33"/>
        <v>7.66899</v>
      </c>
      <c r="H361" s="363">
        <f>F361*G361</f>
        <v>374.09333220000002</v>
      </c>
    </row>
    <row r="362" spans="2:8" ht="25.5">
      <c r="B362" s="358" t="s">
        <v>1441</v>
      </c>
      <c r="C362" s="360" t="s">
        <v>1442</v>
      </c>
      <c r="D362" s="361" t="s">
        <v>401</v>
      </c>
      <c r="E362" s="361" t="s">
        <v>112</v>
      </c>
      <c r="F362" s="362">
        <v>8.6</v>
      </c>
      <c r="G362" s="359">
        <f t="shared" si="33"/>
        <v>7.66899</v>
      </c>
      <c r="H362" s="363">
        <f t="shared" si="34"/>
        <v>65.953313999999992</v>
      </c>
    </row>
    <row r="363" spans="2:8" ht="25.5">
      <c r="B363" s="358" t="s">
        <v>1443</v>
      </c>
      <c r="C363" s="360" t="s">
        <v>1444</v>
      </c>
      <c r="D363" s="361" t="s">
        <v>401</v>
      </c>
      <c r="E363" s="361" t="s">
        <v>112</v>
      </c>
      <c r="F363" s="362">
        <v>15.48</v>
      </c>
      <c r="G363" s="359">
        <f t="shared" si="33"/>
        <v>7.66899</v>
      </c>
      <c r="H363" s="363">
        <f t="shared" si="34"/>
        <v>118.7159652</v>
      </c>
    </row>
    <row r="364" spans="2:8" ht="25.5">
      <c r="B364" s="358" t="s">
        <v>1445</v>
      </c>
      <c r="C364" s="360" t="s">
        <v>1446</v>
      </c>
      <c r="D364" s="361" t="s">
        <v>401</v>
      </c>
      <c r="E364" s="361" t="s">
        <v>112</v>
      </c>
      <c r="F364" s="362">
        <v>6.59</v>
      </c>
      <c r="G364" s="359">
        <f t="shared" si="33"/>
        <v>7.66899</v>
      </c>
      <c r="H364" s="363">
        <f t="shared" si="34"/>
        <v>50.538644099999999</v>
      </c>
    </row>
    <row r="365" spans="2:8" ht="25.5">
      <c r="B365" s="358" t="s">
        <v>1447</v>
      </c>
      <c r="C365" s="360" t="s">
        <v>1448</v>
      </c>
      <c r="D365" s="361" t="s">
        <v>401</v>
      </c>
      <c r="E365" s="361" t="s">
        <v>112</v>
      </c>
      <c r="F365" s="362">
        <v>30.16</v>
      </c>
      <c r="G365" s="359">
        <f t="shared" si="33"/>
        <v>7.66899</v>
      </c>
      <c r="H365" s="363">
        <f t="shared" si="34"/>
        <v>231.29673840000001</v>
      </c>
    </row>
    <row r="366" spans="2:8">
      <c r="B366" s="358" t="s">
        <v>1449</v>
      </c>
      <c r="C366" s="360" t="s">
        <v>1450</v>
      </c>
      <c r="D366" s="361" t="s">
        <v>401</v>
      </c>
      <c r="E366" s="361" t="s">
        <v>1451</v>
      </c>
      <c r="F366" s="362">
        <v>6</v>
      </c>
      <c r="G366" s="359">
        <f>45.28*1.2173</f>
        <v>55.119344000000005</v>
      </c>
      <c r="H366" s="363">
        <f t="shared" si="34"/>
        <v>330.71606400000002</v>
      </c>
    </row>
    <row r="367" spans="2:8">
      <c r="B367" s="358" t="s">
        <v>1452</v>
      </c>
      <c r="C367" s="360" t="s">
        <v>1453</v>
      </c>
      <c r="D367" s="361" t="s">
        <v>401</v>
      </c>
      <c r="E367" s="361" t="s">
        <v>37</v>
      </c>
      <c r="F367" s="362">
        <v>6</v>
      </c>
      <c r="G367" s="359">
        <f>49.4*1.2173</f>
        <v>60.134619999999998</v>
      </c>
      <c r="H367" s="363">
        <f t="shared" si="34"/>
        <v>360.80772000000002</v>
      </c>
    </row>
    <row r="368" spans="2:8" ht="25.5">
      <c r="B368" s="358">
        <v>11002</v>
      </c>
      <c r="C368" s="360" t="s">
        <v>1454</v>
      </c>
      <c r="D368" s="361" t="s">
        <v>401</v>
      </c>
      <c r="E368" s="361" t="s">
        <v>112</v>
      </c>
      <c r="F368" s="362">
        <v>1.2</v>
      </c>
      <c r="G368" s="359">
        <v>34.57</v>
      </c>
      <c r="H368" s="363">
        <f t="shared" si="34"/>
        <v>41.484000000000002</v>
      </c>
    </row>
    <row r="369" spans="2:8" ht="38.25">
      <c r="B369" s="358">
        <v>11964</v>
      </c>
      <c r="C369" s="360" t="s">
        <v>1456</v>
      </c>
      <c r="D369" s="361" t="s">
        <v>401</v>
      </c>
      <c r="E369" s="361" t="s">
        <v>37</v>
      </c>
      <c r="F369" s="362">
        <v>5</v>
      </c>
      <c r="G369" s="359">
        <v>2.66</v>
      </c>
      <c r="H369" s="363">
        <f t="shared" si="34"/>
        <v>13.3</v>
      </c>
    </row>
    <row r="370" spans="2:8" ht="25.5">
      <c r="B370" s="358">
        <v>20259</v>
      </c>
      <c r="C370" s="360" t="s">
        <v>1457</v>
      </c>
      <c r="D370" s="361" t="s">
        <v>401</v>
      </c>
      <c r="E370" s="361" t="s">
        <v>15</v>
      </c>
      <c r="F370" s="362">
        <v>36</v>
      </c>
      <c r="G370" s="359">
        <v>15</v>
      </c>
      <c r="H370" s="363">
        <f t="shared" si="34"/>
        <v>540</v>
      </c>
    </row>
    <row r="371" spans="2:8" ht="38.25">
      <c r="B371" s="358" t="s">
        <v>1460</v>
      </c>
      <c r="C371" s="360" t="s">
        <v>1461</v>
      </c>
      <c r="D371" s="361" t="s">
        <v>12</v>
      </c>
      <c r="E371" s="361" t="s">
        <v>24</v>
      </c>
      <c r="F371" s="362">
        <v>10.26</v>
      </c>
      <c r="G371" s="359">
        <f>15.79*1.2173</f>
        <v>19.221167000000001</v>
      </c>
      <c r="H371" s="363">
        <f t="shared" si="34"/>
        <v>197.20917342000001</v>
      </c>
    </row>
    <row r="372" spans="2:8" ht="51">
      <c r="B372" s="358">
        <v>7568</v>
      </c>
      <c r="C372" s="360" t="s">
        <v>1462</v>
      </c>
      <c r="D372" s="361" t="s">
        <v>401</v>
      </c>
      <c r="E372" s="361" t="s">
        <v>37</v>
      </c>
      <c r="F372" s="362">
        <v>4</v>
      </c>
      <c r="G372" s="359">
        <v>1.1000000000000001</v>
      </c>
      <c r="H372" s="363">
        <f t="shared" si="34"/>
        <v>4.4000000000000004</v>
      </c>
    </row>
    <row r="373" spans="2:8" ht="25.5">
      <c r="B373" s="358" t="s">
        <v>1355</v>
      </c>
      <c r="C373" s="360" t="s">
        <v>1356</v>
      </c>
      <c r="D373" s="361" t="s">
        <v>12</v>
      </c>
      <c r="E373" s="361" t="s">
        <v>1128</v>
      </c>
      <c r="F373" s="362">
        <v>28.6</v>
      </c>
      <c r="G373" s="359">
        <v>20.5</v>
      </c>
      <c r="H373" s="363">
        <f t="shared" si="34"/>
        <v>586.30000000000007</v>
      </c>
    </row>
    <row r="374" spans="2:8" ht="25.5">
      <c r="B374" s="358" t="s">
        <v>1388</v>
      </c>
      <c r="C374" s="360" t="s">
        <v>1389</v>
      </c>
      <c r="D374" s="361" t="s">
        <v>12</v>
      </c>
      <c r="E374" s="361" t="s">
        <v>1128</v>
      </c>
      <c r="F374" s="362">
        <v>14.3</v>
      </c>
      <c r="G374" s="359">
        <v>26.05</v>
      </c>
      <c r="H374" s="363">
        <f t="shared" si="34"/>
        <v>372.51500000000004</v>
      </c>
    </row>
    <row r="375" spans="2:8">
      <c r="B375" s="699" t="s">
        <v>1231</v>
      </c>
      <c r="C375" s="700"/>
      <c r="D375" s="700"/>
      <c r="E375" s="700"/>
      <c r="F375" s="700"/>
      <c r="G375" s="701"/>
      <c r="H375" s="364">
        <f>SUM(H358:H374)</f>
        <v>3977.3856715200004</v>
      </c>
    </row>
    <row r="376" spans="2:8">
      <c r="B376" s="743"/>
      <c r="C376" s="744"/>
      <c r="D376" s="744"/>
      <c r="E376" s="744"/>
      <c r="F376" s="744"/>
      <c r="G376" s="744"/>
      <c r="H376" s="745"/>
    </row>
    <row r="377" spans="2:8" ht="38.25">
      <c r="B377" s="367" t="s">
        <v>1987</v>
      </c>
      <c r="C377" s="368" t="s">
        <v>1825</v>
      </c>
      <c r="D377" s="369" t="s">
        <v>12</v>
      </c>
      <c r="E377" s="369" t="s">
        <v>37</v>
      </c>
      <c r="F377" s="370"/>
      <c r="G377" s="356"/>
      <c r="H377" s="371"/>
    </row>
    <row r="378" spans="2:8" ht="25.5">
      <c r="B378" s="358" t="s">
        <v>1435</v>
      </c>
      <c r="C378" s="360" t="s">
        <v>1436</v>
      </c>
      <c r="D378" s="361" t="s">
        <v>401</v>
      </c>
      <c r="E378" s="361" t="s">
        <v>112</v>
      </c>
      <c r="F378" s="362">
        <v>22.2</v>
      </c>
      <c r="G378" s="359">
        <f t="shared" ref="G378:G384" si="35">6.3*1.2173</f>
        <v>7.66899</v>
      </c>
      <c r="H378" s="363">
        <f t="shared" ref="H378:H392" si="36">F378*G378</f>
        <v>170.25157799999999</v>
      </c>
    </row>
    <row r="379" spans="2:8" ht="25.5">
      <c r="B379" s="358" t="s">
        <v>1437</v>
      </c>
      <c r="C379" s="360" t="s">
        <v>1438</v>
      </c>
      <c r="D379" s="361" t="s">
        <v>401</v>
      </c>
      <c r="E379" s="361" t="s">
        <v>112</v>
      </c>
      <c r="F379" s="362">
        <v>6.69</v>
      </c>
      <c r="G379" s="359">
        <f t="shared" si="35"/>
        <v>7.66899</v>
      </c>
      <c r="H379" s="363">
        <f t="shared" si="36"/>
        <v>51.305543100000001</v>
      </c>
    </row>
    <row r="380" spans="2:8" ht="25.5">
      <c r="B380" s="358" t="s">
        <v>1439</v>
      </c>
      <c r="C380" s="360" t="s">
        <v>1440</v>
      </c>
      <c r="D380" s="361" t="s">
        <v>401</v>
      </c>
      <c r="E380" s="361" t="s">
        <v>112</v>
      </c>
      <c r="F380" s="362">
        <v>35.96</v>
      </c>
      <c r="G380" s="359">
        <f t="shared" si="35"/>
        <v>7.66899</v>
      </c>
      <c r="H380" s="363">
        <f t="shared" si="36"/>
        <v>275.77688039999998</v>
      </c>
    </row>
    <row r="381" spans="2:8" ht="25.5">
      <c r="B381" s="358" t="s">
        <v>1441</v>
      </c>
      <c r="C381" s="360" t="s">
        <v>1442</v>
      </c>
      <c r="D381" s="361" t="s">
        <v>401</v>
      </c>
      <c r="E381" s="361" t="s">
        <v>112</v>
      </c>
      <c r="F381" s="362">
        <v>4.45</v>
      </c>
      <c r="G381" s="359">
        <f t="shared" si="35"/>
        <v>7.66899</v>
      </c>
      <c r="H381" s="363">
        <f t="shared" si="36"/>
        <v>34.127005500000003</v>
      </c>
    </row>
    <row r="382" spans="2:8" ht="25.5">
      <c r="B382" s="358" t="s">
        <v>1443</v>
      </c>
      <c r="C382" s="360" t="s">
        <v>1444</v>
      </c>
      <c r="D382" s="361" t="s">
        <v>401</v>
      </c>
      <c r="E382" s="361" t="s">
        <v>112</v>
      </c>
      <c r="F382" s="362">
        <v>21.41</v>
      </c>
      <c r="G382" s="359">
        <f t="shared" si="35"/>
        <v>7.66899</v>
      </c>
      <c r="H382" s="363">
        <f t="shared" si="36"/>
        <v>164.1930759</v>
      </c>
    </row>
    <row r="383" spans="2:8" ht="25.5">
      <c r="B383" s="358" t="s">
        <v>1445</v>
      </c>
      <c r="C383" s="360" t="s">
        <v>1446</v>
      </c>
      <c r="D383" s="361" t="s">
        <v>401</v>
      </c>
      <c r="E383" s="361" t="s">
        <v>112</v>
      </c>
      <c r="F383" s="362">
        <v>4.76</v>
      </c>
      <c r="G383" s="359">
        <f t="shared" si="35"/>
        <v>7.66899</v>
      </c>
      <c r="H383" s="363">
        <f t="shared" si="36"/>
        <v>36.5043924</v>
      </c>
    </row>
    <row r="384" spans="2:8" ht="25.5">
      <c r="B384" s="358" t="s">
        <v>1447</v>
      </c>
      <c r="C384" s="360" t="s">
        <v>1448</v>
      </c>
      <c r="D384" s="361" t="s">
        <v>401</v>
      </c>
      <c r="E384" s="361" t="s">
        <v>112</v>
      </c>
      <c r="F384" s="362">
        <v>14.35</v>
      </c>
      <c r="G384" s="359">
        <f t="shared" si="35"/>
        <v>7.66899</v>
      </c>
      <c r="H384" s="363">
        <f t="shared" si="36"/>
        <v>110.05000649999999</v>
      </c>
    </row>
    <row r="385" spans="2:8">
      <c r="B385" s="358" t="s">
        <v>1449</v>
      </c>
      <c r="C385" s="360" t="s">
        <v>1450</v>
      </c>
      <c r="D385" s="361" t="s">
        <v>401</v>
      </c>
      <c r="E385" s="361" t="s">
        <v>1451</v>
      </c>
      <c r="F385" s="362">
        <v>3</v>
      </c>
      <c r="G385" s="359">
        <f>45.28*1.2173</f>
        <v>55.119344000000005</v>
      </c>
      <c r="H385" s="363">
        <f t="shared" si="36"/>
        <v>165.35803200000001</v>
      </c>
    </row>
    <row r="386" spans="2:8">
      <c r="B386" s="358" t="s">
        <v>1452</v>
      </c>
      <c r="C386" s="360" t="s">
        <v>1453</v>
      </c>
      <c r="D386" s="361" t="s">
        <v>401</v>
      </c>
      <c r="E386" s="361" t="s">
        <v>37</v>
      </c>
      <c r="F386" s="362">
        <v>3</v>
      </c>
      <c r="G386" s="359">
        <f>49.4*1.2173</f>
        <v>60.134619999999998</v>
      </c>
      <c r="H386" s="363">
        <f t="shared" si="36"/>
        <v>180.40386000000001</v>
      </c>
    </row>
    <row r="387" spans="2:8" ht="25.5">
      <c r="B387" s="358">
        <v>11002</v>
      </c>
      <c r="C387" s="360" t="s">
        <v>1454</v>
      </c>
      <c r="D387" s="361" t="s">
        <v>401</v>
      </c>
      <c r="E387" s="361" t="s">
        <v>112</v>
      </c>
      <c r="F387" s="362">
        <v>0.4</v>
      </c>
      <c r="G387" s="359">
        <v>34.57</v>
      </c>
      <c r="H387" s="363">
        <f t="shared" si="36"/>
        <v>13.828000000000001</v>
      </c>
    </row>
    <row r="388" spans="2:8" ht="38.25">
      <c r="B388" s="358">
        <v>11964</v>
      </c>
      <c r="C388" s="360" t="s">
        <v>1456</v>
      </c>
      <c r="D388" s="361" t="s">
        <v>401</v>
      </c>
      <c r="E388" s="361" t="s">
        <v>37</v>
      </c>
      <c r="F388" s="362">
        <v>3</v>
      </c>
      <c r="G388" s="359">
        <v>2.66</v>
      </c>
      <c r="H388" s="363">
        <f t="shared" si="36"/>
        <v>7.98</v>
      </c>
    </row>
    <row r="389" spans="2:8" ht="25.5">
      <c r="B389" s="358">
        <v>20259</v>
      </c>
      <c r="C389" s="360" t="s">
        <v>1457</v>
      </c>
      <c r="D389" s="361" t="s">
        <v>401</v>
      </c>
      <c r="E389" s="361" t="s">
        <v>15</v>
      </c>
      <c r="F389" s="362">
        <v>24.2</v>
      </c>
      <c r="G389" s="359">
        <v>15</v>
      </c>
      <c r="H389" s="363">
        <f t="shared" si="36"/>
        <v>363</v>
      </c>
    </row>
    <row r="390" spans="2:8" ht="38.25">
      <c r="B390" s="358" t="s">
        <v>1460</v>
      </c>
      <c r="C390" s="360" t="s">
        <v>1461</v>
      </c>
      <c r="D390" s="361" t="s">
        <v>12</v>
      </c>
      <c r="E390" s="361" t="s">
        <v>24</v>
      </c>
      <c r="F390" s="362">
        <v>1.8</v>
      </c>
      <c r="G390" s="359">
        <f>15.79*1.2173</f>
        <v>19.221167000000001</v>
      </c>
      <c r="H390" s="363">
        <f t="shared" si="36"/>
        <v>34.598100600000002</v>
      </c>
    </row>
    <row r="391" spans="2:8" ht="25.5">
      <c r="B391" s="358" t="s">
        <v>1355</v>
      </c>
      <c r="C391" s="360" t="s">
        <v>1356</v>
      </c>
      <c r="D391" s="361" t="s">
        <v>12</v>
      </c>
      <c r="E391" s="361" t="s">
        <v>1128</v>
      </c>
      <c r="F391" s="362">
        <v>25.6</v>
      </c>
      <c r="G391" s="359">
        <v>20.5</v>
      </c>
      <c r="H391" s="363">
        <f t="shared" si="36"/>
        <v>524.80000000000007</v>
      </c>
    </row>
    <row r="392" spans="2:8" ht="25.5">
      <c r="B392" s="358" t="s">
        <v>1388</v>
      </c>
      <c r="C392" s="360" t="s">
        <v>1389</v>
      </c>
      <c r="D392" s="361" t="s">
        <v>12</v>
      </c>
      <c r="E392" s="361" t="s">
        <v>1128</v>
      </c>
      <c r="F392" s="362">
        <v>12.8</v>
      </c>
      <c r="G392" s="359">
        <v>26.05</v>
      </c>
      <c r="H392" s="363">
        <f t="shared" si="36"/>
        <v>333.44000000000005</v>
      </c>
    </row>
    <row r="393" spans="2:8" ht="15" customHeight="1">
      <c r="B393" s="699" t="s">
        <v>1231</v>
      </c>
      <c r="C393" s="700"/>
      <c r="D393" s="700"/>
      <c r="E393" s="700"/>
      <c r="F393" s="700"/>
      <c r="G393" s="701"/>
      <c r="H393" s="364">
        <f>SUM(H378:H392)</f>
        <v>2465.6164744000002</v>
      </c>
    </row>
    <row r="394" spans="2:8">
      <c r="B394" s="743"/>
      <c r="C394" s="744"/>
      <c r="D394" s="744"/>
      <c r="E394" s="744"/>
      <c r="F394" s="744"/>
      <c r="G394" s="744"/>
      <c r="H394" s="745"/>
    </row>
    <row r="395" spans="2:8" ht="38.25">
      <c r="B395" s="367" t="s">
        <v>1988</v>
      </c>
      <c r="C395" s="368" t="s">
        <v>1826</v>
      </c>
      <c r="D395" s="369" t="s">
        <v>12</v>
      </c>
      <c r="E395" s="369" t="s">
        <v>37</v>
      </c>
      <c r="F395" s="370"/>
      <c r="G395" s="356"/>
      <c r="H395" s="371"/>
    </row>
    <row r="396" spans="2:8" ht="25.5">
      <c r="B396" s="358" t="s">
        <v>1433</v>
      </c>
      <c r="C396" s="360" t="s">
        <v>1434</v>
      </c>
      <c r="D396" s="361" t="s">
        <v>401</v>
      </c>
      <c r="E396" s="361" t="s">
        <v>112</v>
      </c>
      <c r="F396" s="362">
        <v>21.5</v>
      </c>
      <c r="G396" s="359">
        <f t="shared" ref="G396:G403" si="37">6.3*1.2173</f>
        <v>7.66899</v>
      </c>
      <c r="H396" s="363">
        <f t="shared" ref="H396:H412" si="38">F396*G396</f>
        <v>164.883285</v>
      </c>
    </row>
    <row r="397" spans="2:8" ht="25.5">
      <c r="B397" s="358" t="s">
        <v>1435</v>
      </c>
      <c r="C397" s="360" t="s">
        <v>1436</v>
      </c>
      <c r="D397" s="361" t="s">
        <v>401</v>
      </c>
      <c r="E397" s="361" t="s">
        <v>112</v>
      </c>
      <c r="F397" s="362">
        <v>29.6</v>
      </c>
      <c r="G397" s="359">
        <f t="shared" si="37"/>
        <v>7.66899</v>
      </c>
      <c r="H397" s="363">
        <f t="shared" si="38"/>
        <v>227.002104</v>
      </c>
    </row>
    <row r="398" spans="2:8" ht="25.5">
      <c r="B398" s="358" t="s">
        <v>1437</v>
      </c>
      <c r="C398" s="360" t="s">
        <v>1438</v>
      </c>
      <c r="D398" s="361" t="s">
        <v>401</v>
      </c>
      <c r="E398" s="361" t="s">
        <v>112</v>
      </c>
      <c r="F398" s="362">
        <v>9.6</v>
      </c>
      <c r="G398" s="359">
        <f t="shared" si="37"/>
        <v>7.66899</v>
      </c>
      <c r="H398" s="363">
        <f t="shared" si="38"/>
        <v>73.622304</v>
      </c>
    </row>
    <row r="399" spans="2:8" ht="25.5">
      <c r="B399" s="358" t="s">
        <v>1439</v>
      </c>
      <c r="C399" s="360" t="s">
        <v>1440</v>
      </c>
      <c r="D399" s="361" t="s">
        <v>401</v>
      </c>
      <c r="E399" s="361" t="s">
        <v>112</v>
      </c>
      <c r="F399" s="362">
        <v>34.96</v>
      </c>
      <c r="G399" s="359">
        <f t="shared" si="37"/>
        <v>7.66899</v>
      </c>
      <c r="H399" s="363">
        <f t="shared" si="38"/>
        <v>268.10789040000003</v>
      </c>
    </row>
    <row r="400" spans="2:8" ht="25.5">
      <c r="B400" s="358" t="s">
        <v>1441</v>
      </c>
      <c r="C400" s="360" t="s">
        <v>1442</v>
      </c>
      <c r="D400" s="361" t="s">
        <v>401</v>
      </c>
      <c r="E400" s="361" t="s">
        <v>112</v>
      </c>
      <c r="F400" s="362">
        <v>6.2</v>
      </c>
      <c r="G400" s="359">
        <f t="shared" si="37"/>
        <v>7.66899</v>
      </c>
      <c r="H400" s="363">
        <f t="shared" si="38"/>
        <v>47.547738000000003</v>
      </c>
    </row>
    <row r="401" spans="2:8" ht="25.5">
      <c r="B401" s="358" t="s">
        <v>1443</v>
      </c>
      <c r="C401" s="360" t="s">
        <v>1444</v>
      </c>
      <c r="D401" s="361" t="s">
        <v>401</v>
      </c>
      <c r="E401" s="361" t="s">
        <v>112</v>
      </c>
      <c r="F401" s="362">
        <v>11.1</v>
      </c>
      <c r="G401" s="359">
        <f t="shared" si="37"/>
        <v>7.66899</v>
      </c>
      <c r="H401" s="363">
        <f t="shared" si="38"/>
        <v>85.125788999999997</v>
      </c>
    </row>
    <row r="402" spans="2:8" ht="25.5">
      <c r="B402" s="358" t="s">
        <v>1445</v>
      </c>
      <c r="C402" s="360" t="s">
        <v>1446</v>
      </c>
      <c r="D402" s="361" t="s">
        <v>401</v>
      </c>
      <c r="E402" s="361" t="s">
        <v>112</v>
      </c>
      <c r="F402" s="362">
        <v>4.67</v>
      </c>
      <c r="G402" s="359">
        <f t="shared" si="37"/>
        <v>7.66899</v>
      </c>
      <c r="H402" s="363">
        <f t="shared" si="38"/>
        <v>35.814183299999996</v>
      </c>
    </row>
    <row r="403" spans="2:8" ht="25.5">
      <c r="B403" s="358" t="s">
        <v>1447</v>
      </c>
      <c r="C403" s="360" t="s">
        <v>1448</v>
      </c>
      <c r="D403" s="361" t="s">
        <v>401</v>
      </c>
      <c r="E403" s="361" t="s">
        <v>112</v>
      </c>
      <c r="F403" s="362">
        <v>21.6</v>
      </c>
      <c r="G403" s="359">
        <f t="shared" si="37"/>
        <v>7.66899</v>
      </c>
      <c r="H403" s="363">
        <f t="shared" si="38"/>
        <v>165.65018400000002</v>
      </c>
    </row>
    <row r="404" spans="2:8">
      <c r="B404" s="358" t="s">
        <v>1449</v>
      </c>
      <c r="C404" s="360" t="s">
        <v>1450</v>
      </c>
      <c r="D404" s="361" t="s">
        <v>401</v>
      </c>
      <c r="E404" s="361" t="s">
        <v>1451</v>
      </c>
      <c r="F404" s="362">
        <v>4</v>
      </c>
      <c r="G404" s="359">
        <f>45.28*1.2173</f>
        <v>55.119344000000005</v>
      </c>
      <c r="H404" s="363">
        <f t="shared" si="38"/>
        <v>220.47737600000002</v>
      </c>
    </row>
    <row r="405" spans="2:8">
      <c r="B405" s="358" t="s">
        <v>1452</v>
      </c>
      <c r="C405" s="360" t="s">
        <v>1453</v>
      </c>
      <c r="D405" s="361" t="s">
        <v>401</v>
      </c>
      <c r="E405" s="361" t="s">
        <v>37</v>
      </c>
      <c r="F405" s="362">
        <v>4</v>
      </c>
      <c r="G405" s="359">
        <f>49.4*1.2173</f>
        <v>60.134619999999998</v>
      </c>
      <c r="H405" s="363">
        <f t="shared" si="38"/>
        <v>240.53847999999999</v>
      </c>
    </row>
    <row r="406" spans="2:8" ht="25.5">
      <c r="B406" s="358">
        <v>11002</v>
      </c>
      <c r="C406" s="360" t="s">
        <v>1454</v>
      </c>
      <c r="D406" s="361" t="s">
        <v>401</v>
      </c>
      <c r="E406" s="361" t="s">
        <v>112</v>
      </c>
      <c r="F406" s="362">
        <v>0.86</v>
      </c>
      <c r="G406" s="359">
        <v>34.57</v>
      </c>
      <c r="H406" s="363">
        <f t="shared" si="38"/>
        <v>29.7302</v>
      </c>
    </row>
    <row r="407" spans="2:8" ht="38.25">
      <c r="B407" s="358">
        <v>11964</v>
      </c>
      <c r="C407" s="360" t="s">
        <v>1456</v>
      </c>
      <c r="D407" s="361" t="s">
        <v>401</v>
      </c>
      <c r="E407" s="361" t="s">
        <v>37</v>
      </c>
      <c r="F407" s="362">
        <v>4</v>
      </c>
      <c r="G407" s="359">
        <v>2.66</v>
      </c>
      <c r="H407" s="363">
        <f t="shared" si="38"/>
        <v>10.64</v>
      </c>
    </row>
    <row r="408" spans="2:8" ht="25.5">
      <c r="B408" s="358">
        <v>20259</v>
      </c>
      <c r="C408" s="360" t="s">
        <v>1457</v>
      </c>
      <c r="D408" s="361" t="s">
        <v>401</v>
      </c>
      <c r="E408" s="361" t="s">
        <v>15</v>
      </c>
      <c r="F408" s="362">
        <v>24</v>
      </c>
      <c r="G408" s="359">
        <v>15</v>
      </c>
      <c r="H408" s="363">
        <f t="shared" si="38"/>
        <v>360</v>
      </c>
    </row>
    <row r="409" spans="2:8" ht="38.25">
      <c r="B409" s="358" t="s">
        <v>1460</v>
      </c>
      <c r="C409" s="360" t="s">
        <v>1461</v>
      </c>
      <c r="D409" s="361" t="s">
        <v>12</v>
      </c>
      <c r="E409" s="361" t="s">
        <v>24</v>
      </c>
      <c r="F409" s="362">
        <v>2.4</v>
      </c>
      <c r="G409" s="359">
        <f>15.79*1.2173</f>
        <v>19.221167000000001</v>
      </c>
      <c r="H409" s="363">
        <f t="shared" si="38"/>
        <v>46.130800800000003</v>
      </c>
    </row>
    <row r="410" spans="2:8" ht="51">
      <c r="B410" s="358">
        <v>7568</v>
      </c>
      <c r="C410" s="360" t="s">
        <v>1462</v>
      </c>
      <c r="D410" s="361" t="s">
        <v>401</v>
      </c>
      <c r="E410" s="361" t="s">
        <v>37</v>
      </c>
      <c r="F410" s="362">
        <v>4</v>
      </c>
      <c r="G410" s="359">
        <v>1.1000000000000001</v>
      </c>
      <c r="H410" s="363">
        <f t="shared" si="38"/>
        <v>4.4000000000000004</v>
      </c>
    </row>
    <row r="411" spans="2:8" ht="25.5">
      <c r="B411" s="358" t="s">
        <v>1355</v>
      </c>
      <c r="C411" s="360" t="s">
        <v>1356</v>
      </c>
      <c r="D411" s="361" t="s">
        <v>12</v>
      </c>
      <c r="E411" s="361" t="s">
        <v>1128</v>
      </c>
      <c r="F411" s="362">
        <v>29.8</v>
      </c>
      <c r="G411" s="359">
        <v>20.5</v>
      </c>
      <c r="H411" s="363">
        <f t="shared" si="38"/>
        <v>610.9</v>
      </c>
    </row>
    <row r="412" spans="2:8" ht="25.5">
      <c r="B412" s="358" t="s">
        <v>1388</v>
      </c>
      <c r="C412" s="360" t="s">
        <v>1389</v>
      </c>
      <c r="D412" s="361" t="s">
        <v>12</v>
      </c>
      <c r="E412" s="361" t="s">
        <v>1128</v>
      </c>
      <c r="F412" s="362">
        <v>15</v>
      </c>
      <c r="G412" s="359">
        <v>26.05</v>
      </c>
      <c r="H412" s="363">
        <f t="shared" si="38"/>
        <v>390.75</v>
      </c>
    </row>
    <row r="413" spans="2:8">
      <c r="B413" s="699" t="s">
        <v>1231</v>
      </c>
      <c r="C413" s="700"/>
      <c r="D413" s="700"/>
      <c r="E413" s="700"/>
      <c r="F413" s="700"/>
      <c r="G413" s="701"/>
      <c r="H413" s="364">
        <f>SUM(H396:H412)</f>
        <v>2981.3203345000002</v>
      </c>
    </row>
    <row r="414" spans="2:8">
      <c r="B414" s="702"/>
      <c r="C414" s="703"/>
      <c r="D414" s="703"/>
      <c r="E414" s="703"/>
      <c r="F414" s="703"/>
      <c r="G414" s="703"/>
      <c r="H414" s="704"/>
    </row>
    <row r="415" spans="2:8" ht="38.25">
      <c r="B415" s="367" t="s">
        <v>1989</v>
      </c>
      <c r="C415" s="368" t="s">
        <v>1827</v>
      </c>
      <c r="D415" s="369" t="s">
        <v>12</v>
      </c>
      <c r="E415" s="369" t="s">
        <v>37</v>
      </c>
      <c r="F415" s="370"/>
      <c r="G415" s="356"/>
      <c r="H415" s="371"/>
    </row>
    <row r="416" spans="2:8" ht="25.5">
      <c r="B416" s="358" t="s">
        <v>1435</v>
      </c>
      <c r="C416" s="360" t="s">
        <v>1436</v>
      </c>
      <c r="D416" s="361" t="s">
        <v>401</v>
      </c>
      <c r="E416" s="361" t="s">
        <v>112</v>
      </c>
      <c r="F416" s="362">
        <v>22.2</v>
      </c>
      <c r="G416" s="359">
        <f t="shared" ref="G416:G422" si="39">6.3*1.2173</f>
        <v>7.66899</v>
      </c>
      <c r="H416" s="363">
        <f t="shared" ref="H416:H430" si="40">F416*G416</f>
        <v>170.25157799999999</v>
      </c>
    </row>
    <row r="417" spans="2:8" ht="25.5">
      <c r="B417" s="358" t="s">
        <v>1437</v>
      </c>
      <c r="C417" s="360" t="s">
        <v>1438</v>
      </c>
      <c r="D417" s="361" t="s">
        <v>401</v>
      </c>
      <c r="E417" s="361" t="s">
        <v>112</v>
      </c>
      <c r="F417" s="362">
        <v>6.69</v>
      </c>
      <c r="G417" s="359">
        <f t="shared" si="39"/>
        <v>7.66899</v>
      </c>
      <c r="H417" s="363">
        <f t="shared" si="40"/>
        <v>51.305543100000001</v>
      </c>
    </row>
    <row r="418" spans="2:8" ht="25.5">
      <c r="B418" s="358" t="s">
        <v>1439</v>
      </c>
      <c r="C418" s="360" t="s">
        <v>1440</v>
      </c>
      <c r="D418" s="361" t="s">
        <v>401</v>
      </c>
      <c r="E418" s="361" t="s">
        <v>112</v>
      </c>
      <c r="F418" s="362">
        <v>35.96</v>
      </c>
      <c r="G418" s="359">
        <f t="shared" si="39"/>
        <v>7.66899</v>
      </c>
      <c r="H418" s="363">
        <f t="shared" si="40"/>
        <v>275.77688039999998</v>
      </c>
    </row>
    <row r="419" spans="2:8" ht="25.5">
      <c r="B419" s="358" t="s">
        <v>1441</v>
      </c>
      <c r="C419" s="360" t="s">
        <v>1442</v>
      </c>
      <c r="D419" s="361" t="s">
        <v>401</v>
      </c>
      <c r="E419" s="361" t="s">
        <v>112</v>
      </c>
      <c r="F419" s="362">
        <v>4.45</v>
      </c>
      <c r="G419" s="359">
        <f t="shared" si="39"/>
        <v>7.66899</v>
      </c>
      <c r="H419" s="363">
        <f t="shared" si="40"/>
        <v>34.127005500000003</v>
      </c>
    </row>
    <row r="420" spans="2:8" ht="25.5">
      <c r="B420" s="358" t="s">
        <v>1443</v>
      </c>
      <c r="C420" s="360" t="s">
        <v>1444</v>
      </c>
      <c r="D420" s="361" t="s">
        <v>401</v>
      </c>
      <c r="E420" s="361" t="s">
        <v>112</v>
      </c>
      <c r="F420" s="362">
        <v>21.41</v>
      </c>
      <c r="G420" s="359">
        <f t="shared" si="39"/>
        <v>7.66899</v>
      </c>
      <c r="H420" s="363">
        <f t="shared" si="40"/>
        <v>164.1930759</v>
      </c>
    </row>
    <row r="421" spans="2:8" ht="25.5">
      <c r="B421" s="358" t="s">
        <v>1445</v>
      </c>
      <c r="C421" s="360" t="s">
        <v>1446</v>
      </c>
      <c r="D421" s="361" t="s">
        <v>401</v>
      </c>
      <c r="E421" s="361" t="s">
        <v>112</v>
      </c>
      <c r="F421" s="362">
        <v>4.76</v>
      </c>
      <c r="G421" s="359">
        <f t="shared" si="39"/>
        <v>7.66899</v>
      </c>
      <c r="H421" s="363">
        <f t="shared" si="40"/>
        <v>36.5043924</v>
      </c>
    </row>
    <row r="422" spans="2:8" ht="25.5">
      <c r="B422" s="358" t="s">
        <v>1447</v>
      </c>
      <c r="C422" s="360" t="s">
        <v>1448</v>
      </c>
      <c r="D422" s="361" t="s">
        <v>401</v>
      </c>
      <c r="E422" s="361" t="s">
        <v>112</v>
      </c>
      <c r="F422" s="362">
        <v>14.35</v>
      </c>
      <c r="G422" s="359">
        <f t="shared" si="39"/>
        <v>7.66899</v>
      </c>
      <c r="H422" s="363">
        <f t="shared" si="40"/>
        <v>110.05000649999999</v>
      </c>
    </row>
    <row r="423" spans="2:8">
      <c r="B423" s="358" t="s">
        <v>1449</v>
      </c>
      <c r="C423" s="360" t="s">
        <v>1450</v>
      </c>
      <c r="D423" s="361" t="s">
        <v>401</v>
      </c>
      <c r="E423" s="361" t="s">
        <v>1451</v>
      </c>
      <c r="F423" s="362">
        <v>3</v>
      </c>
      <c r="G423" s="359">
        <f>45.28*1.2173</f>
        <v>55.119344000000005</v>
      </c>
      <c r="H423" s="363">
        <f t="shared" si="40"/>
        <v>165.35803200000001</v>
      </c>
    </row>
    <row r="424" spans="2:8">
      <c r="B424" s="358" t="s">
        <v>1452</v>
      </c>
      <c r="C424" s="360" t="s">
        <v>1453</v>
      </c>
      <c r="D424" s="361" t="s">
        <v>401</v>
      </c>
      <c r="E424" s="361" t="s">
        <v>37</v>
      </c>
      <c r="F424" s="362">
        <v>3</v>
      </c>
      <c r="G424" s="359">
        <f>49.4*1.2173</f>
        <v>60.134619999999998</v>
      </c>
      <c r="H424" s="363">
        <f t="shared" si="40"/>
        <v>180.40386000000001</v>
      </c>
    </row>
    <row r="425" spans="2:8" ht="25.5">
      <c r="B425" s="358">
        <v>11002</v>
      </c>
      <c r="C425" s="360" t="s">
        <v>1454</v>
      </c>
      <c r="D425" s="361" t="s">
        <v>401</v>
      </c>
      <c r="E425" s="361" t="s">
        <v>112</v>
      </c>
      <c r="F425" s="362">
        <v>0.4</v>
      </c>
      <c r="G425" s="359">
        <v>34.57</v>
      </c>
      <c r="H425" s="363">
        <f t="shared" si="40"/>
        <v>13.828000000000001</v>
      </c>
    </row>
    <row r="426" spans="2:8" ht="38.25">
      <c r="B426" s="358">
        <v>11964</v>
      </c>
      <c r="C426" s="360" t="s">
        <v>1456</v>
      </c>
      <c r="D426" s="361" t="s">
        <v>401</v>
      </c>
      <c r="E426" s="361" t="s">
        <v>37</v>
      </c>
      <c r="F426" s="362">
        <v>3</v>
      </c>
      <c r="G426" s="359">
        <v>2.66</v>
      </c>
      <c r="H426" s="363">
        <f t="shared" si="40"/>
        <v>7.98</v>
      </c>
    </row>
    <row r="427" spans="2:8" ht="25.5">
      <c r="B427" s="358">
        <v>20259</v>
      </c>
      <c r="C427" s="360" t="s">
        <v>1457</v>
      </c>
      <c r="D427" s="361" t="s">
        <v>401</v>
      </c>
      <c r="E427" s="361" t="s">
        <v>15</v>
      </c>
      <c r="F427" s="362">
        <v>24.2</v>
      </c>
      <c r="G427" s="359">
        <v>15</v>
      </c>
      <c r="H427" s="363">
        <f t="shared" si="40"/>
        <v>363</v>
      </c>
    </row>
    <row r="428" spans="2:8" ht="38.25">
      <c r="B428" s="358" t="s">
        <v>1460</v>
      </c>
      <c r="C428" s="360" t="s">
        <v>1461</v>
      </c>
      <c r="D428" s="361" t="s">
        <v>12</v>
      </c>
      <c r="E428" s="361" t="s">
        <v>24</v>
      </c>
      <c r="F428" s="362">
        <v>1.75</v>
      </c>
      <c r="G428" s="359">
        <f>15.79*1.2173</f>
        <v>19.221167000000001</v>
      </c>
      <c r="H428" s="363">
        <f t="shared" si="40"/>
        <v>33.63704225</v>
      </c>
    </row>
    <row r="429" spans="2:8" ht="25.5">
      <c r="B429" s="358" t="s">
        <v>1355</v>
      </c>
      <c r="C429" s="360" t="s">
        <v>1356</v>
      </c>
      <c r="D429" s="361" t="s">
        <v>12</v>
      </c>
      <c r="E429" s="361" t="s">
        <v>1128</v>
      </c>
      <c r="F429" s="362">
        <v>25.6</v>
      </c>
      <c r="G429" s="359">
        <v>20.5</v>
      </c>
      <c r="H429" s="363">
        <f t="shared" si="40"/>
        <v>524.80000000000007</v>
      </c>
    </row>
    <row r="430" spans="2:8" ht="25.5">
      <c r="B430" s="358" t="s">
        <v>1388</v>
      </c>
      <c r="C430" s="360" t="s">
        <v>1389</v>
      </c>
      <c r="D430" s="361" t="s">
        <v>12</v>
      </c>
      <c r="E430" s="361" t="s">
        <v>1128</v>
      </c>
      <c r="F430" s="362">
        <v>12.8</v>
      </c>
      <c r="G430" s="359">
        <v>26.05</v>
      </c>
      <c r="H430" s="363">
        <f t="shared" si="40"/>
        <v>333.44000000000005</v>
      </c>
    </row>
    <row r="431" spans="2:8">
      <c r="B431" s="699" t="s">
        <v>1231</v>
      </c>
      <c r="C431" s="700"/>
      <c r="D431" s="700"/>
      <c r="E431" s="700"/>
      <c r="F431" s="700"/>
      <c r="G431" s="701"/>
      <c r="H431" s="364">
        <f>SUM(H416:H430)</f>
        <v>2464.65541605</v>
      </c>
    </row>
    <row r="432" spans="2:8">
      <c r="B432" s="702"/>
      <c r="C432" s="703"/>
      <c r="D432" s="703"/>
      <c r="E432" s="703"/>
      <c r="F432" s="703"/>
      <c r="G432" s="703"/>
      <c r="H432" s="704"/>
    </row>
    <row r="433" spans="2:8" ht="51">
      <c r="B433" s="367" t="s">
        <v>1990</v>
      </c>
      <c r="C433" s="368" t="s">
        <v>368</v>
      </c>
      <c r="D433" s="369" t="s">
        <v>12</v>
      </c>
      <c r="E433" s="369" t="s">
        <v>37</v>
      </c>
      <c r="F433" s="370"/>
      <c r="G433" s="356"/>
      <c r="H433" s="371"/>
    </row>
    <row r="434" spans="2:8" ht="25.5">
      <c r="B434" s="358" t="s">
        <v>1433</v>
      </c>
      <c r="C434" s="360" t="s">
        <v>1434</v>
      </c>
      <c r="D434" s="361" t="s">
        <v>401</v>
      </c>
      <c r="E434" s="361" t="s">
        <v>112</v>
      </c>
      <c r="F434" s="362">
        <v>32.200000000000003</v>
      </c>
      <c r="G434" s="359">
        <f>6.3*1.2173</f>
        <v>7.66899</v>
      </c>
      <c r="H434" s="363">
        <f>F434*G434</f>
        <v>246.94147800000002</v>
      </c>
    </row>
    <row r="435" spans="2:8" ht="25.5">
      <c r="B435" s="358" t="s">
        <v>1467</v>
      </c>
      <c r="C435" s="360" t="s">
        <v>1468</v>
      </c>
      <c r="D435" s="361" t="s">
        <v>401</v>
      </c>
      <c r="E435" s="361" t="s">
        <v>112</v>
      </c>
      <c r="F435" s="362">
        <v>28.5</v>
      </c>
      <c r="G435" s="359">
        <f t="shared" ref="G435:G441" si="41">6.3*1.2173</f>
        <v>7.66899</v>
      </c>
      <c r="H435" s="363">
        <f t="shared" ref="H435:H450" si="42">F435*G435</f>
        <v>218.566215</v>
      </c>
    </row>
    <row r="436" spans="2:8" ht="25.5">
      <c r="B436" s="358" t="s">
        <v>1469</v>
      </c>
      <c r="C436" s="360" t="s">
        <v>1470</v>
      </c>
      <c r="D436" s="361" t="s">
        <v>401</v>
      </c>
      <c r="E436" s="361" t="s">
        <v>112</v>
      </c>
      <c r="F436" s="362">
        <v>14.44</v>
      </c>
      <c r="G436" s="359">
        <f t="shared" si="41"/>
        <v>7.66899</v>
      </c>
      <c r="H436" s="363">
        <f t="shared" si="42"/>
        <v>110.7402156</v>
      </c>
    </row>
    <row r="437" spans="2:8" ht="38.25">
      <c r="B437" s="358" t="s">
        <v>1471</v>
      </c>
      <c r="C437" s="360" t="s">
        <v>1472</v>
      </c>
      <c r="D437" s="361" t="s">
        <v>401</v>
      </c>
      <c r="E437" s="361" t="s">
        <v>112</v>
      </c>
      <c r="F437" s="362">
        <v>42.78</v>
      </c>
      <c r="G437" s="359">
        <f t="shared" si="41"/>
        <v>7.66899</v>
      </c>
      <c r="H437" s="363">
        <f t="shared" si="42"/>
        <v>328.07939220000003</v>
      </c>
    </row>
    <row r="438" spans="2:8" ht="38.25">
      <c r="B438" s="358" t="s">
        <v>1473</v>
      </c>
      <c r="C438" s="360" t="s">
        <v>1474</v>
      </c>
      <c r="D438" s="361" t="s">
        <v>401</v>
      </c>
      <c r="E438" s="361" t="s">
        <v>112</v>
      </c>
      <c r="F438" s="362">
        <v>6.46</v>
      </c>
      <c r="G438" s="359">
        <f t="shared" si="41"/>
        <v>7.66899</v>
      </c>
      <c r="H438" s="363">
        <f t="shared" si="42"/>
        <v>49.541675400000003</v>
      </c>
    </row>
    <row r="439" spans="2:8" ht="38.25">
      <c r="B439" s="358" t="s">
        <v>1420</v>
      </c>
      <c r="C439" s="360" t="s">
        <v>1421</v>
      </c>
      <c r="D439" s="361" t="s">
        <v>401</v>
      </c>
      <c r="E439" s="361" t="s">
        <v>112</v>
      </c>
      <c r="F439" s="362">
        <v>5.3</v>
      </c>
      <c r="G439" s="359">
        <f t="shared" si="41"/>
        <v>7.66899</v>
      </c>
      <c r="H439" s="363">
        <f t="shared" si="42"/>
        <v>40.645646999999997</v>
      </c>
    </row>
    <row r="440" spans="2:8" ht="38.25">
      <c r="B440" s="358" t="s">
        <v>1475</v>
      </c>
      <c r="C440" s="360" t="s">
        <v>1476</v>
      </c>
      <c r="D440" s="361" t="s">
        <v>401</v>
      </c>
      <c r="E440" s="361" t="s">
        <v>112</v>
      </c>
      <c r="F440" s="362">
        <v>11.59</v>
      </c>
      <c r="G440" s="359">
        <f t="shared" si="41"/>
        <v>7.66899</v>
      </c>
      <c r="H440" s="363">
        <f t="shared" si="42"/>
        <v>88.883594099999996</v>
      </c>
    </row>
    <row r="441" spans="2:8" ht="38.25">
      <c r="B441" s="358" t="s">
        <v>1477</v>
      </c>
      <c r="C441" s="360" t="s">
        <v>1478</v>
      </c>
      <c r="D441" s="361" t="s">
        <v>401</v>
      </c>
      <c r="E441" s="361" t="s">
        <v>112</v>
      </c>
      <c r="F441" s="362">
        <v>2.9369999999999998</v>
      </c>
      <c r="G441" s="359">
        <f t="shared" si="41"/>
        <v>7.66899</v>
      </c>
      <c r="H441" s="363">
        <f t="shared" si="42"/>
        <v>22.523823629999999</v>
      </c>
    </row>
    <row r="442" spans="2:8" ht="25.5">
      <c r="B442" s="358">
        <v>11002</v>
      </c>
      <c r="C442" s="360" t="s">
        <v>1454</v>
      </c>
      <c r="D442" s="361" t="s">
        <v>401</v>
      </c>
      <c r="E442" s="361" t="s">
        <v>112</v>
      </c>
      <c r="F442" s="362" t="s">
        <v>1279</v>
      </c>
      <c r="G442" s="359">
        <v>28.71</v>
      </c>
      <c r="H442" s="363">
        <f t="shared" si="42"/>
        <v>14.355</v>
      </c>
    </row>
    <row r="443" spans="2:8" ht="38.25">
      <c r="B443" s="358">
        <v>11058</v>
      </c>
      <c r="C443" s="360" t="s">
        <v>1455</v>
      </c>
      <c r="D443" s="361" t="s">
        <v>401</v>
      </c>
      <c r="E443" s="361" t="s">
        <v>37</v>
      </c>
      <c r="F443" s="362">
        <v>16</v>
      </c>
      <c r="G443" s="359">
        <v>0.44</v>
      </c>
      <c r="H443" s="363">
        <f t="shared" si="42"/>
        <v>7.04</v>
      </c>
    </row>
    <row r="444" spans="2:8" ht="25.5">
      <c r="B444" s="358">
        <v>20259</v>
      </c>
      <c r="C444" s="360" t="s">
        <v>1457</v>
      </c>
      <c r="D444" s="361" t="s">
        <v>401</v>
      </c>
      <c r="E444" s="361" t="s">
        <v>15</v>
      </c>
      <c r="F444" s="362">
        <v>5.2</v>
      </c>
      <c r="G444" s="359">
        <v>15</v>
      </c>
      <c r="H444" s="363">
        <f t="shared" si="42"/>
        <v>78</v>
      </c>
    </row>
    <row r="445" spans="2:8" ht="63.75">
      <c r="B445" s="358">
        <v>38165</v>
      </c>
      <c r="C445" s="360" t="s">
        <v>1479</v>
      </c>
      <c r="D445" s="361" t="s">
        <v>401</v>
      </c>
      <c r="E445" s="361" t="s">
        <v>663</v>
      </c>
      <c r="F445" s="362">
        <v>1</v>
      </c>
      <c r="G445" s="359">
        <v>68.62</v>
      </c>
      <c r="H445" s="363">
        <f t="shared" si="42"/>
        <v>68.62</v>
      </c>
    </row>
    <row r="446" spans="2:8" ht="38.25">
      <c r="B446" s="358">
        <v>40552</v>
      </c>
      <c r="C446" s="360" t="s">
        <v>1459</v>
      </c>
      <c r="D446" s="361" t="s">
        <v>401</v>
      </c>
      <c r="E446" s="361" t="s">
        <v>1395</v>
      </c>
      <c r="F446" s="362" t="s">
        <v>1363</v>
      </c>
      <c r="G446" s="359">
        <v>52.16</v>
      </c>
      <c r="H446" s="363">
        <f t="shared" si="42"/>
        <v>10.432</v>
      </c>
    </row>
    <row r="447" spans="2:8" ht="38.25">
      <c r="B447" s="358" t="s">
        <v>1460</v>
      </c>
      <c r="C447" s="360" t="s">
        <v>1461</v>
      </c>
      <c r="D447" s="361" t="s">
        <v>12</v>
      </c>
      <c r="E447" s="361" t="s">
        <v>24</v>
      </c>
      <c r="F447" s="362">
        <v>21</v>
      </c>
      <c r="G447" s="359">
        <f>15.79*1.2173</f>
        <v>19.221167000000001</v>
      </c>
      <c r="H447" s="363">
        <f t="shared" si="42"/>
        <v>403.64450700000003</v>
      </c>
    </row>
    <row r="448" spans="2:8" ht="51">
      <c r="B448" s="358">
        <v>7568</v>
      </c>
      <c r="C448" s="360" t="s">
        <v>1462</v>
      </c>
      <c r="D448" s="361" t="s">
        <v>401</v>
      </c>
      <c r="E448" s="361" t="s">
        <v>37</v>
      </c>
      <c r="F448" s="362">
        <v>6</v>
      </c>
      <c r="G448" s="359">
        <v>1.1000000000000001</v>
      </c>
      <c r="H448" s="363">
        <f t="shared" si="42"/>
        <v>6.6000000000000005</v>
      </c>
    </row>
    <row r="449" spans="2:10" ht="25.5">
      <c r="B449" s="358" t="s">
        <v>1355</v>
      </c>
      <c r="C449" s="360" t="s">
        <v>1356</v>
      </c>
      <c r="D449" s="361" t="s">
        <v>12</v>
      </c>
      <c r="E449" s="361" t="s">
        <v>1128</v>
      </c>
      <c r="F449" s="362">
        <v>36</v>
      </c>
      <c r="G449" s="359">
        <v>20.5</v>
      </c>
      <c r="H449" s="363">
        <f t="shared" si="42"/>
        <v>738</v>
      </c>
    </row>
    <row r="450" spans="2:10" ht="25.5">
      <c r="B450" s="358" t="s">
        <v>1388</v>
      </c>
      <c r="C450" s="360" t="s">
        <v>1389</v>
      </c>
      <c r="D450" s="361" t="s">
        <v>12</v>
      </c>
      <c r="E450" s="361" t="s">
        <v>1128</v>
      </c>
      <c r="F450" s="362">
        <v>36</v>
      </c>
      <c r="G450" s="359">
        <v>26.05</v>
      </c>
      <c r="H450" s="363">
        <f t="shared" si="42"/>
        <v>937.80000000000007</v>
      </c>
    </row>
    <row r="451" spans="2:10">
      <c r="B451" s="699" t="s">
        <v>1231</v>
      </c>
      <c r="C451" s="700"/>
      <c r="D451" s="700"/>
      <c r="E451" s="700"/>
      <c r="F451" s="700"/>
      <c r="G451" s="701"/>
      <c r="H451" s="364">
        <f>SUM(H434:H450)</f>
        <v>3370.4135479300003</v>
      </c>
    </row>
    <row r="452" spans="2:10">
      <c r="B452" s="702"/>
      <c r="C452" s="703"/>
      <c r="D452" s="703"/>
      <c r="E452" s="703"/>
      <c r="F452" s="703"/>
      <c r="G452" s="703"/>
      <c r="H452" s="704"/>
    </row>
    <row r="453" spans="2:10" ht="51">
      <c r="B453" s="367" t="s">
        <v>1991</v>
      </c>
      <c r="C453" s="368" t="s">
        <v>369</v>
      </c>
      <c r="D453" s="369" t="s">
        <v>12</v>
      </c>
      <c r="E453" s="369" t="s">
        <v>37</v>
      </c>
      <c r="F453" s="370"/>
      <c r="G453" s="356"/>
      <c r="H453" s="371"/>
    </row>
    <row r="454" spans="2:10" ht="25.5">
      <c r="B454" s="358" t="s">
        <v>1467</v>
      </c>
      <c r="C454" s="360" t="s">
        <v>1468</v>
      </c>
      <c r="D454" s="361" t="s">
        <v>401</v>
      </c>
      <c r="E454" s="361" t="s">
        <v>112</v>
      </c>
      <c r="F454" s="362">
        <v>26</v>
      </c>
      <c r="G454" s="359">
        <f>6.3*1.2173</f>
        <v>7.66899</v>
      </c>
      <c r="H454" s="363">
        <f>F454*G454</f>
        <v>199.39374000000001</v>
      </c>
    </row>
    <row r="455" spans="2:10" ht="25.5">
      <c r="B455" s="358" t="s">
        <v>1469</v>
      </c>
      <c r="C455" s="360" t="s">
        <v>1470</v>
      </c>
      <c r="D455" s="361" t="s">
        <v>401</v>
      </c>
      <c r="E455" s="361" t="s">
        <v>112</v>
      </c>
      <c r="F455" s="362">
        <v>10.6793655079</v>
      </c>
      <c r="G455" s="359">
        <f t="shared" ref="G455:G460" si="43">6.3*1.2173</f>
        <v>7.66899</v>
      </c>
      <c r="H455" s="363">
        <f>F455*G455</f>
        <v>81.89994728643002</v>
      </c>
      <c r="J455" s="344"/>
    </row>
    <row r="456" spans="2:10" ht="38.25">
      <c r="B456" s="358" t="s">
        <v>1471</v>
      </c>
      <c r="C456" s="360" t="s">
        <v>1472</v>
      </c>
      <c r="D456" s="361" t="s">
        <v>401</v>
      </c>
      <c r="E456" s="361" t="s">
        <v>112</v>
      </c>
      <c r="F456" s="362">
        <v>31.660317460000002</v>
      </c>
      <c r="G456" s="359">
        <f t="shared" si="43"/>
        <v>7.66899</v>
      </c>
      <c r="H456" s="363">
        <f>F456*G456</f>
        <v>242.8026579975654</v>
      </c>
    </row>
    <row r="457" spans="2:10" ht="38.25">
      <c r="B457" s="358" t="s">
        <v>1473</v>
      </c>
      <c r="C457" s="360" t="s">
        <v>1474</v>
      </c>
      <c r="D457" s="361" t="s">
        <v>401</v>
      </c>
      <c r="E457" s="361" t="s">
        <v>112</v>
      </c>
      <c r="F457" s="362">
        <v>4.16984127</v>
      </c>
      <c r="G457" s="359">
        <f t="shared" si="43"/>
        <v>7.66899</v>
      </c>
      <c r="H457" s="363">
        <f t="shared" ref="H457:H469" si="44">F457*G457</f>
        <v>31.978471001217301</v>
      </c>
    </row>
    <row r="458" spans="2:10" ht="38.25">
      <c r="B458" s="358" t="s">
        <v>1420</v>
      </c>
      <c r="C458" s="360" t="s">
        <v>1421</v>
      </c>
      <c r="D458" s="361" t="s">
        <v>401</v>
      </c>
      <c r="E458" s="361" t="s">
        <v>112</v>
      </c>
      <c r="F458" s="362">
        <v>3.420634921</v>
      </c>
      <c r="G458" s="359">
        <f t="shared" si="43"/>
        <v>7.66899</v>
      </c>
      <c r="H458" s="363">
        <f t="shared" si="44"/>
        <v>26.232815002799789</v>
      </c>
    </row>
    <row r="459" spans="2:10" ht="38.25">
      <c r="B459" s="358" t="s">
        <v>1475</v>
      </c>
      <c r="C459" s="360" t="s">
        <v>1476</v>
      </c>
      <c r="D459" s="361" t="s">
        <v>401</v>
      </c>
      <c r="E459" s="361" t="s">
        <v>112</v>
      </c>
      <c r="F459" s="362">
        <v>6.4206349210000004</v>
      </c>
      <c r="G459" s="359">
        <f t="shared" si="43"/>
        <v>7.66899</v>
      </c>
      <c r="H459" s="363">
        <f t="shared" si="44"/>
        <v>49.239785002799792</v>
      </c>
    </row>
    <row r="460" spans="2:10" ht="38.25">
      <c r="B460" s="358" t="s">
        <v>1477</v>
      </c>
      <c r="C460" s="360" t="s">
        <v>1478</v>
      </c>
      <c r="D460" s="361" t="s">
        <v>401</v>
      </c>
      <c r="E460" s="361" t="s">
        <v>112</v>
      </c>
      <c r="F460" s="362">
        <v>36.009523809999997</v>
      </c>
      <c r="G460" s="359">
        <f t="shared" si="43"/>
        <v>7.66899</v>
      </c>
      <c r="H460" s="363">
        <f t="shared" si="44"/>
        <v>276.1566780036519</v>
      </c>
    </row>
    <row r="461" spans="2:10" ht="25.5">
      <c r="B461" s="358">
        <v>11002</v>
      </c>
      <c r="C461" s="360" t="s">
        <v>1454</v>
      </c>
      <c r="D461" s="361" t="s">
        <v>401</v>
      </c>
      <c r="E461" s="361" t="s">
        <v>112</v>
      </c>
      <c r="F461" s="362">
        <v>0.3</v>
      </c>
      <c r="G461" s="359">
        <v>28.71</v>
      </c>
      <c r="H461" s="363">
        <f t="shared" si="44"/>
        <v>8.6129999999999995</v>
      </c>
    </row>
    <row r="462" spans="2:10" ht="38.25">
      <c r="B462" s="358">
        <v>11058</v>
      </c>
      <c r="C462" s="360" t="s">
        <v>1455</v>
      </c>
      <c r="D462" s="361" t="s">
        <v>401</v>
      </c>
      <c r="E462" s="361" t="s">
        <v>37</v>
      </c>
      <c r="F462" s="362">
        <v>10</v>
      </c>
      <c r="G462" s="359">
        <v>0.44</v>
      </c>
      <c r="H462" s="363">
        <f t="shared" si="44"/>
        <v>4.4000000000000004</v>
      </c>
    </row>
    <row r="463" spans="2:10" ht="25.5">
      <c r="B463" s="358">
        <v>20259</v>
      </c>
      <c r="C463" s="360" t="s">
        <v>1457</v>
      </c>
      <c r="D463" s="361" t="s">
        <v>401</v>
      </c>
      <c r="E463" s="361" t="s">
        <v>15</v>
      </c>
      <c r="F463" s="362">
        <v>46.7</v>
      </c>
      <c r="G463" s="359">
        <v>15</v>
      </c>
      <c r="H463" s="363">
        <f t="shared" si="44"/>
        <v>700.5</v>
      </c>
    </row>
    <row r="464" spans="2:10" ht="63.75">
      <c r="B464" s="358">
        <v>38165</v>
      </c>
      <c r="C464" s="360" t="s">
        <v>1479</v>
      </c>
      <c r="D464" s="361" t="s">
        <v>401</v>
      </c>
      <c r="E464" s="361" t="s">
        <v>663</v>
      </c>
      <c r="F464" s="362">
        <v>1</v>
      </c>
      <c r="G464" s="359">
        <v>68.62</v>
      </c>
      <c r="H464" s="363">
        <f t="shared" si="44"/>
        <v>68.62</v>
      </c>
    </row>
    <row r="465" spans="2:8" ht="38.25">
      <c r="B465" s="358">
        <v>40552</v>
      </c>
      <c r="C465" s="360" t="s">
        <v>1459</v>
      </c>
      <c r="D465" s="361" t="s">
        <v>401</v>
      </c>
      <c r="E465" s="361" t="s">
        <v>1395</v>
      </c>
      <c r="F465" s="362" t="s">
        <v>1363</v>
      </c>
      <c r="G465" s="359">
        <v>52.16</v>
      </c>
      <c r="H465" s="363">
        <f t="shared" si="44"/>
        <v>10.432</v>
      </c>
    </row>
    <row r="466" spans="2:8" ht="38.25">
      <c r="B466" s="358" t="s">
        <v>1460</v>
      </c>
      <c r="C466" s="360" t="s">
        <v>1461</v>
      </c>
      <c r="D466" s="361" t="s">
        <v>12</v>
      </c>
      <c r="E466" s="361" t="s">
        <v>24</v>
      </c>
      <c r="F466" s="362">
        <v>15.001266623999999</v>
      </c>
      <c r="G466" s="359">
        <f>15.79*1.2173</f>
        <v>19.221167000000001</v>
      </c>
      <c r="H466" s="363">
        <f t="shared" si="44"/>
        <v>288.34185099143019</v>
      </c>
    </row>
    <row r="467" spans="2:8" ht="51">
      <c r="B467" s="358">
        <v>7568</v>
      </c>
      <c r="C467" s="360" t="s">
        <v>1462</v>
      </c>
      <c r="D467" s="361" t="s">
        <v>401</v>
      </c>
      <c r="E467" s="361" t="s">
        <v>37</v>
      </c>
      <c r="F467" s="362">
        <v>10</v>
      </c>
      <c r="G467" s="359">
        <v>1.1000000000000001</v>
      </c>
      <c r="H467" s="363">
        <f t="shared" si="44"/>
        <v>11</v>
      </c>
    </row>
    <row r="468" spans="2:8" ht="25.5">
      <c r="B468" s="358" t="s">
        <v>1355</v>
      </c>
      <c r="C468" s="360" t="s">
        <v>1356</v>
      </c>
      <c r="D468" s="361" t="s">
        <v>12</v>
      </c>
      <c r="E468" s="361" t="s">
        <v>1128</v>
      </c>
      <c r="F468" s="362">
        <v>24.000811687999999</v>
      </c>
      <c r="G468" s="359">
        <v>20.5</v>
      </c>
      <c r="H468" s="363">
        <f t="shared" si="44"/>
        <v>492.01663960399998</v>
      </c>
    </row>
    <row r="469" spans="2:8" ht="25.5">
      <c r="B469" s="358" t="s">
        <v>1388</v>
      </c>
      <c r="C469" s="360" t="s">
        <v>1389</v>
      </c>
      <c r="D469" s="361" t="s">
        <v>12</v>
      </c>
      <c r="E469" s="361" t="s">
        <v>1128</v>
      </c>
      <c r="F469" s="362">
        <v>24.002943341000002</v>
      </c>
      <c r="G469" s="359">
        <v>26.05</v>
      </c>
      <c r="H469" s="363">
        <f t="shared" si="44"/>
        <v>625.27667403305009</v>
      </c>
    </row>
    <row r="470" spans="2:8">
      <c r="B470" s="699" t="s">
        <v>1231</v>
      </c>
      <c r="C470" s="700"/>
      <c r="D470" s="700"/>
      <c r="E470" s="700"/>
      <c r="F470" s="700"/>
      <c r="G470" s="701"/>
      <c r="H470" s="390">
        <f>SUM(H454:H469)</f>
        <v>3116.9042589229439</v>
      </c>
    </row>
    <row r="471" spans="2:8">
      <c r="B471" s="702"/>
      <c r="C471" s="703"/>
      <c r="D471" s="703"/>
      <c r="E471" s="703"/>
      <c r="F471" s="703"/>
      <c r="G471" s="703"/>
      <c r="H471" s="704"/>
    </row>
    <row r="472" spans="2:8" ht="38.25">
      <c r="B472" s="367" t="s">
        <v>1992</v>
      </c>
      <c r="C472" s="368" t="s">
        <v>370</v>
      </c>
      <c r="D472" s="369" t="s">
        <v>12</v>
      </c>
      <c r="E472" s="369" t="s">
        <v>37</v>
      </c>
      <c r="F472" s="370"/>
      <c r="G472" s="356"/>
      <c r="H472" s="371"/>
    </row>
    <row r="473" spans="2:8" ht="25.5">
      <c r="B473" s="358" t="s">
        <v>1467</v>
      </c>
      <c r="C473" s="360" t="s">
        <v>1468</v>
      </c>
      <c r="D473" s="361" t="s">
        <v>401</v>
      </c>
      <c r="E473" s="361" t="s">
        <v>112</v>
      </c>
      <c r="F473" s="362">
        <v>81.306317460000002</v>
      </c>
      <c r="G473" s="359">
        <f>6.3*1.2173</f>
        <v>7.66899</v>
      </c>
      <c r="H473" s="363">
        <f>F473*G473</f>
        <v>623.53733553756547</v>
      </c>
    </row>
    <row r="474" spans="2:8" ht="25.5">
      <c r="B474" s="358" t="s">
        <v>1469</v>
      </c>
      <c r="C474" s="360" t="s">
        <v>1470</v>
      </c>
      <c r="D474" s="361" t="s">
        <v>401</v>
      </c>
      <c r="E474" s="361" t="s">
        <v>112</v>
      </c>
      <c r="F474" s="362">
        <v>26.169841269999999</v>
      </c>
      <c r="G474" s="359">
        <f t="shared" ref="G474:G478" si="45">6.3*1.2173</f>
        <v>7.66899</v>
      </c>
      <c r="H474" s="363">
        <f t="shared" ref="H474:H487" si="46">F474*G474</f>
        <v>200.69625100121729</v>
      </c>
    </row>
    <row r="475" spans="2:8" ht="38.25">
      <c r="B475" s="358" t="s">
        <v>1471</v>
      </c>
      <c r="C475" s="360" t="s">
        <v>1472</v>
      </c>
      <c r="D475" s="361" t="s">
        <v>401</v>
      </c>
      <c r="E475" s="361" t="s">
        <v>112</v>
      </c>
      <c r="F475" s="362">
        <v>77.560317459999993</v>
      </c>
      <c r="G475" s="359">
        <f t="shared" si="45"/>
        <v>7.66899</v>
      </c>
      <c r="H475" s="363">
        <f t="shared" si="46"/>
        <v>594.80929899756529</v>
      </c>
    </row>
    <row r="476" spans="2:8" ht="38.25">
      <c r="B476" s="358" t="s">
        <v>1473</v>
      </c>
      <c r="C476" s="360" t="s">
        <v>1474</v>
      </c>
      <c r="D476" s="361" t="s">
        <v>401</v>
      </c>
      <c r="E476" s="361" t="s">
        <v>112</v>
      </c>
      <c r="F476" s="362">
        <v>51.669841269999999</v>
      </c>
      <c r="G476" s="359">
        <f t="shared" si="45"/>
        <v>7.66899</v>
      </c>
      <c r="H476" s="363">
        <f t="shared" si="46"/>
        <v>396.2554960012173</v>
      </c>
    </row>
    <row r="477" spans="2:8" ht="38.25">
      <c r="B477" s="358" t="s">
        <v>1420</v>
      </c>
      <c r="C477" s="360" t="s">
        <v>1421</v>
      </c>
      <c r="D477" s="361" t="s">
        <v>401</v>
      </c>
      <c r="E477" s="361" t="s">
        <v>112</v>
      </c>
      <c r="F477" s="362">
        <v>42.390476190000001</v>
      </c>
      <c r="G477" s="359">
        <f t="shared" si="45"/>
        <v>7.66899</v>
      </c>
      <c r="H477" s="363">
        <f t="shared" si="46"/>
        <v>325.09213799634813</v>
      </c>
    </row>
    <row r="478" spans="2:8" ht="38.25">
      <c r="B478" s="358" t="s">
        <v>1477</v>
      </c>
      <c r="C478" s="360" t="s">
        <v>1478</v>
      </c>
      <c r="D478" s="361" t="s">
        <v>401</v>
      </c>
      <c r="E478" s="361" t="s">
        <v>112</v>
      </c>
      <c r="F478" s="362">
        <v>85.320634921000007</v>
      </c>
      <c r="G478" s="359">
        <f t="shared" si="45"/>
        <v>7.66899</v>
      </c>
      <c r="H478" s="363">
        <f t="shared" si="46"/>
        <v>654.32309600279984</v>
      </c>
    </row>
    <row r="479" spans="2:8" ht="25.5">
      <c r="B479" s="358">
        <v>11002</v>
      </c>
      <c r="C479" s="360" t="s">
        <v>1454</v>
      </c>
      <c r="D479" s="361" t="s">
        <v>401</v>
      </c>
      <c r="E479" s="361" t="s">
        <v>112</v>
      </c>
      <c r="F479" s="362" t="s">
        <v>1364</v>
      </c>
      <c r="G479" s="359">
        <v>28.71</v>
      </c>
      <c r="H479" s="363">
        <f t="shared" si="46"/>
        <v>25.839000000000002</v>
      </c>
    </row>
    <row r="480" spans="2:8" ht="38.25">
      <c r="B480" s="358">
        <v>11058</v>
      </c>
      <c r="C480" s="360" t="s">
        <v>1455</v>
      </c>
      <c r="D480" s="361" t="s">
        <v>401</v>
      </c>
      <c r="E480" s="361" t="s">
        <v>37</v>
      </c>
      <c r="F480" s="362">
        <v>24</v>
      </c>
      <c r="G480" s="359">
        <v>0.44</v>
      </c>
      <c r="H480" s="363">
        <f t="shared" si="46"/>
        <v>10.56</v>
      </c>
    </row>
    <row r="481" spans="2:8" ht="25.5">
      <c r="B481" s="358">
        <v>20259</v>
      </c>
      <c r="C481" s="360" t="s">
        <v>1457</v>
      </c>
      <c r="D481" s="361" t="s">
        <v>401</v>
      </c>
      <c r="E481" s="361" t="s">
        <v>15</v>
      </c>
      <c r="F481" s="362">
        <v>158</v>
      </c>
      <c r="G481" s="359">
        <v>15</v>
      </c>
      <c r="H481" s="363">
        <f t="shared" si="46"/>
        <v>2370</v>
      </c>
    </row>
    <row r="482" spans="2:8" ht="63.75">
      <c r="B482" s="358">
        <v>38165</v>
      </c>
      <c r="C482" s="360" t="s">
        <v>1479</v>
      </c>
      <c r="D482" s="361" t="s">
        <v>401</v>
      </c>
      <c r="E482" s="361" t="s">
        <v>663</v>
      </c>
      <c r="F482" s="362">
        <v>6</v>
      </c>
      <c r="G482" s="359">
        <v>68.62</v>
      </c>
      <c r="H482" s="363">
        <f t="shared" si="46"/>
        <v>411.72</v>
      </c>
    </row>
    <row r="483" spans="2:8" ht="38.25">
      <c r="B483" s="358">
        <v>40552</v>
      </c>
      <c r="C483" s="360" t="s">
        <v>1459</v>
      </c>
      <c r="D483" s="361" t="s">
        <v>401</v>
      </c>
      <c r="E483" s="361" t="s">
        <v>1395</v>
      </c>
      <c r="F483" s="362">
        <v>1</v>
      </c>
      <c r="G483" s="359">
        <v>52.16</v>
      </c>
      <c r="H483" s="363">
        <f t="shared" si="46"/>
        <v>52.16</v>
      </c>
    </row>
    <row r="484" spans="2:8" ht="38.25">
      <c r="B484" s="358" t="s">
        <v>1460</v>
      </c>
      <c r="C484" s="360" t="s">
        <v>1461</v>
      </c>
      <c r="D484" s="361" t="s">
        <v>12</v>
      </c>
      <c r="E484" s="361" t="s">
        <v>24</v>
      </c>
      <c r="F484" s="362">
        <v>54.053831539000001</v>
      </c>
      <c r="G484" s="359">
        <f>15.79*1.2173</f>
        <v>19.221167000000001</v>
      </c>
      <c r="H484" s="363">
        <f t="shared" si="46"/>
        <v>1038.9777230009861</v>
      </c>
    </row>
    <row r="485" spans="2:8" ht="51">
      <c r="B485" s="358">
        <v>7568</v>
      </c>
      <c r="C485" s="360" t="s">
        <v>1462</v>
      </c>
      <c r="D485" s="361" t="s">
        <v>401</v>
      </c>
      <c r="E485" s="361" t="s">
        <v>37</v>
      </c>
      <c r="F485" s="362">
        <v>24</v>
      </c>
      <c r="G485" s="359">
        <v>1.1000000000000001</v>
      </c>
      <c r="H485" s="363">
        <f t="shared" si="46"/>
        <v>26.400000000000002</v>
      </c>
    </row>
    <row r="486" spans="2:8" ht="25.5">
      <c r="B486" s="358" t="s">
        <v>1355</v>
      </c>
      <c r="C486" s="360" t="s">
        <v>1356</v>
      </c>
      <c r="D486" s="361" t="s">
        <v>12</v>
      </c>
      <c r="E486" s="361" t="s">
        <v>1128</v>
      </c>
      <c r="F486" s="362">
        <v>86.004058442000002</v>
      </c>
      <c r="G486" s="359">
        <v>20.5</v>
      </c>
      <c r="H486" s="363">
        <f t="shared" si="46"/>
        <v>1763.0831980610001</v>
      </c>
    </row>
    <row r="487" spans="2:8" ht="25.5">
      <c r="B487" s="358" t="s">
        <v>1388</v>
      </c>
      <c r="C487" s="360" t="s">
        <v>1389</v>
      </c>
      <c r="D487" s="361" t="s">
        <v>12</v>
      </c>
      <c r="E487" s="361" t="s">
        <v>1128</v>
      </c>
      <c r="F487" s="362">
        <v>86.011037528000003</v>
      </c>
      <c r="G487" s="359">
        <v>26.05</v>
      </c>
      <c r="H487" s="363">
        <f t="shared" si="46"/>
        <v>2240.5875276044003</v>
      </c>
    </row>
    <row r="488" spans="2:8">
      <c r="B488" s="699" t="s">
        <v>1231</v>
      </c>
      <c r="C488" s="700"/>
      <c r="D488" s="700"/>
      <c r="E488" s="700"/>
      <c r="F488" s="700"/>
      <c r="G488" s="701"/>
      <c r="H488" s="390">
        <f>SUM(H473:H487)</f>
        <v>10734.0410642031</v>
      </c>
    </row>
    <row r="489" spans="2:8">
      <c r="B489" s="702"/>
      <c r="C489" s="703"/>
      <c r="D489" s="703"/>
      <c r="E489" s="703"/>
      <c r="F489" s="703"/>
      <c r="G489" s="703"/>
      <c r="H489" s="704"/>
    </row>
    <row r="490" spans="2:8" ht="38.25">
      <c r="B490" s="367" t="s">
        <v>1993</v>
      </c>
      <c r="C490" s="368" t="s">
        <v>371</v>
      </c>
      <c r="D490" s="369" t="s">
        <v>12</v>
      </c>
      <c r="E490" s="369" t="s">
        <v>37</v>
      </c>
      <c r="F490" s="370"/>
      <c r="G490" s="356"/>
      <c r="H490" s="371"/>
    </row>
    <row r="491" spans="2:8" ht="25.5">
      <c r="B491" s="358" t="s">
        <v>1467</v>
      </c>
      <c r="C491" s="360" t="s">
        <v>1468</v>
      </c>
      <c r="D491" s="361" t="s">
        <v>401</v>
      </c>
      <c r="E491" s="361" t="s">
        <v>112</v>
      </c>
      <c r="F491" s="362">
        <v>15.139682540000001</v>
      </c>
      <c r="G491" s="359">
        <f>6.3*1.2173</f>
        <v>7.66899</v>
      </c>
      <c r="H491" s="363">
        <f>F491*G491</f>
        <v>116.10607400243461</v>
      </c>
    </row>
    <row r="492" spans="2:8" ht="25.5">
      <c r="B492" s="358" t="s">
        <v>1469</v>
      </c>
      <c r="C492" s="360" t="s">
        <v>1470</v>
      </c>
      <c r="D492" s="361" t="s">
        <v>401</v>
      </c>
      <c r="E492" s="361" t="s">
        <v>112</v>
      </c>
      <c r="F492" s="362">
        <v>9.4396825399999997</v>
      </c>
      <c r="G492" s="359">
        <f t="shared" ref="G492:G497" si="47">6.3*1.2173</f>
        <v>7.66899</v>
      </c>
      <c r="H492" s="363">
        <f t="shared" ref="H492:H506" si="48">F492*G492</f>
        <v>72.392831002434605</v>
      </c>
    </row>
    <row r="493" spans="2:8" ht="38.25">
      <c r="B493" s="358" t="s">
        <v>1471</v>
      </c>
      <c r="C493" s="360" t="s">
        <v>1472</v>
      </c>
      <c r="D493" s="361" t="s">
        <v>401</v>
      </c>
      <c r="E493" s="361" t="s">
        <v>112</v>
      </c>
      <c r="F493" s="362">
        <v>28</v>
      </c>
      <c r="G493" s="359">
        <f t="shared" si="47"/>
        <v>7.66899</v>
      </c>
      <c r="H493" s="363">
        <f t="shared" si="48"/>
        <v>214.73172</v>
      </c>
    </row>
    <row r="494" spans="2:8" ht="38.25">
      <c r="B494" s="358" t="s">
        <v>1473</v>
      </c>
      <c r="C494" s="360" t="s">
        <v>1474</v>
      </c>
      <c r="D494" s="361" t="s">
        <v>401</v>
      </c>
      <c r="E494" s="361" t="s">
        <v>112</v>
      </c>
      <c r="F494" s="362">
        <v>13.479365079000001</v>
      </c>
      <c r="G494" s="359">
        <f t="shared" si="47"/>
        <v>7.66899</v>
      </c>
      <c r="H494" s="363">
        <f t="shared" si="48"/>
        <v>103.37311599720022</v>
      </c>
    </row>
    <row r="495" spans="2:8" ht="38.25">
      <c r="B495" s="358" t="s">
        <v>1420</v>
      </c>
      <c r="C495" s="360" t="s">
        <v>1421</v>
      </c>
      <c r="D495" s="361" t="s">
        <v>401</v>
      </c>
      <c r="E495" s="361" t="s">
        <v>112</v>
      </c>
      <c r="F495" s="362">
        <v>9.7904761899999997</v>
      </c>
      <c r="G495" s="359">
        <f t="shared" si="47"/>
        <v>7.66899</v>
      </c>
      <c r="H495" s="363">
        <f t="shared" si="48"/>
        <v>75.083063996348102</v>
      </c>
    </row>
    <row r="496" spans="2:8" ht="38.25">
      <c r="B496" s="358" t="s">
        <v>1475</v>
      </c>
      <c r="C496" s="360" t="s">
        <v>1476</v>
      </c>
      <c r="D496" s="361" t="s">
        <v>401</v>
      </c>
      <c r="E496" s="361" t="s">
        <v>112</v>
      </c>
      <c r="F496" s="362">
        <v>7.6206349209999997</v>
      </c>
      <c r="G496" s="359">
        <f t="shared" si="47"/>
        <v>7.66899</v>
      </c>
      <c r="H496" s="363">
        <f t="shared" si="48"/>
        <v>58.44257300279979</v>
      </c>
    </row>
    <row r="497" spans="2:8" ht="38.25">
      <c r="B497" s="358" t="s">
        <v>1477</v>
      </c>
      <c r="C497" s="360" t="s">
        <v>1478</v>
      </c>
      <c r="D497" s="361" t="s">
        <v>401</v>
      </c>
      <c r="E497" s="361" t="s">
        <v>112</v>
      </c>
      <c r="F497" s="362">
        <v>7.1095238099999998</v>
      </c>
      <c r="G497" s="359">
        <f t="shared" si="47"/>
        <v>7.66899</v>
      </c>
      <c r="H497" s="363">
        <f t="shared" si="48"/>
        <v>54.522867003651896</v>
      </c>
    </row>
    <row r="498" spans="2:8" ht="25.5">
      <c r="B498" s="358">
        <v>11002</v>
      </c>
      <c r="C498" s="360" t="s">
        <v>1454</v>
      </c>
      <c r="D498" s="361" t="s">
        <v>401</v>
      </c>
      <c r="E498" s="361" t="s">
        <v>112</v>
      </c>
      <c r="F498" s="362">
        <v>0.2</v>
      </c>
      <c r="G498" s="359">
        <v>28.71</v>
      </c>
      <c r="H498" s="363">
        <f t="shared" si="48"/>
        <v>5.7420000000000009</v>
      </c>
    </row>
    <row r="499" spans="2:8" ht="38.25">
      <c r="B499" s="358">
        <v>11058</v>
      </c>
      <c r="C499" s="360" t="s">
        <v>1455</v>
      </c>
      <c r="D499" s="361" t="s">
        <v>401</v>
      </c>
      <c r="E499" s="361" t="s">
        <v>37</v>
      </c>
      <c r="F499" s="362">
        <v>4</v>
      </c>
      <c r="G499" s="359">
        <v>0.44</v>
      </c>
      <c r="H499" s="363">
        <f t="shared" si="48"/>
        <v>1.76</v>
      </c>
    </row>
    <row r="500" spans="2:8" ht="25.5">
      <c r="B500" s="358">
        <v>20259</v>
      </c>
      <c r="C500" s="360" t="s">
        <v>1457</v>
      </c>
      <c r="D500" s="361" t="s">
        <v>401</v>
      </c>
      <c r="E500" s="361" t="s">
        <v>15</v>
      </c>
      <c r="F500" s="362">
        <v>29.6</v>
      </c>
      <c r="G500" s="359">
        <v>15</v>
      </c>
      <c r="H500" s="363">
        <f t="shared" si="48"/>
        <v>444</v>
      </c>
    </row>
    <row r="501" spans="2:8" ht="63.75">
      <c r="B501" s="358">
        <v>38165</v>
      </c>
      <c r="C501" s="360" t="s">
        <v>1479</v>
      </c>
      <c r="D501" s="361" t="s">
        <v>401</v>
      </c>
      <c r="E501" s="361" t="s">
        <v>663</v>
      </c>
      <c r="F501" s="362">
        <v>1</v>
      </c>
      <c r="G501" s="359">
        <v>68.62</v>
      </c>
      <c r="H501" s="363">
        <f t="shared" si="48"/>
        <v>68.62</v>
      </c>
    </row>
    <row r="502" spans="2:8" ht="38.25">
      <c r="B502" s="358">
        <v>40552</v>
      </c>
      <c r="C502" s="360" t="s">
        <v>1459</v>
      </c>
      <c r="D502" s="361" t="s">
        <v>401</v>
      </c>
      <c r="E502" s="361" t="s">
        <v>1395</v>
      </c>
      <c r="F502" s="362">
        <v>0.15</v>
      </c>
      <c r="G502" s="359">
        <v>52.16</v>
      </c>
      <c r="H502" s="363">
        <f t="shared" si="48"/>
        <v>7.823999999999999</v>
      </c>
    </row>
    <row r="503" spans="2:8" ht="38.25">
      <c r="B503" s="358" t="s">
        <v>1460</v>
      </c>
      <c r="C503" s="360" t="s">
        <v>1461</v>
      </c>
      <c r="D503" s="361" t="s">
        <v>12</v>
      </c>
      <c r="E503" s="361" t="s">
        <v>24</v>
      </c>
      <c r="F503" s="362">
        <v>12.740975301000001</v>
      </c>
      <c r="G503" s="359">
        <f>15.79*1.2173</f>
        <v>19.221167000000001</v>
      </c>
      <c r="H503" s="363">
        <f t="shared" si="48"/>
        <v>244.8964140033963</v>
      </c>
    </row>
    <row r="504" spans="2:8" ht="51">
      <c r="B504" s="358">
        <v>7568</v>
      </c>
      <c r="C504" s="360" t="s">
        <v>1462</v>
      </c>
      <c r="D504" s="361" t="s">
        <v>401</v>
      </c>
      <c r="E504" s="361" t="s">
        <v>37</v>
      </c>
      <c r="F504" s="362">
        <v>4</v>
      </c>
      <c r="G504" s="359">
        <v>1.1000000000000001</v>
      </c>
      <c r="H504" s="363">
        <f t="shared" si="48"/>
        <v>4.4000000000000004</v>
      </c>
    </row>
    <row r="505" spans="2:8" ht="25.5">
      <c r="B505" s="358" t="s">
        <v>1355</v>
      </c>
      <c r="C505" s="360" t="s">
        <v>1356</v>
      </c>
      <c r="D505" s="361" t="s">
        <v>12</v>
      </c>
      <c r="E505" s="361" t="s">
        <v>1128</v>
      </c>
      <c r="F505" s="362">
        <v>8</v>
      </c>
      <c r="G505" s="359">
        <v>20.5</v>
      </c>
      <c r="H505" s="363">
        <f t="shared" si="48"/>
        <v>164</v>
      </c>
    </row>
    <row r="506" spans="2:8" ht="25.5">
      <c r="B506" s="358" t="s">
        <v>1388</v>
      </c>
      <c r="C506" s="360" t="s">
        <v>1389</v>
      </c>
      <c r="D506" s="361" t="s">
        <v>12</v>
      </c>
      <c r="E506" s="361" t="s">
        <v>1128</v>
      </c>
      <c r="F506" s="362">
        <v>8.0007358350000004</v>
      </c>
      <c r="G506" s="359">
        <v>26.05</v>
      </c>
      <c r="H506" s="363">
        <f t="shared" si="48"/>
        <v>208.41916850175002</v>
      </c>
    </row>
    <row r="507" spans="2:8">
      <c r="B507" s="699" t="s">
        <v>1231</v>
      </c>
      <c r="C507" s="700"/>
      <c r="D507" s="700"/>
      <c r="E507" s="700"/>
      <c r="F507" s="700"/>
      <c r="G507" s="701"/>
      <c r="H507" s="364">
        <f>SUM(H491:H506)</f>
        <v>1844.3138275100155</v>
      </c>
    </row>
    <row r="508" spans="2:8">
      <c r="B508" s="702"/>
      <c r="C508" s="703"/>
      <c r="D508" s="703"/>
      <c r="E508" s="703"/>
      <c r="F508" s="703"/>
      <c r="G508" s="703"/>
      <c r="H508" s="704"/>
    </row>
    <row r="509" spans="2:8" ht="51">
      <c r="B509" s="367" t="s">
        <v>1994</v>
      </c>
      <c r="C509" s="368" t="s">
        <v>372</v>
      </c>
      <c r="D509" s="369" t="s">
        <v>12</v>
      </c>
      <c r="E509" s="369" t="s">
        <v>37</v>
      </c>
      <c r="F509" s="370"/>
      <c r="G509" s="356"/>
      <c r="H509" s="371"/>
    </row>
    <row r="510" spans="2:8" ht="25.5">
      <c r="B510" s="358" t="s">
        <v>1435</v>
      </c>
      <c r="C510" s="360" t="s">
        <v>1436</v>
      </c>
      <c r="D510" s="361" t="s">
        <v>401</v>
      </c>
      <c r="E510" s="361" t="s">
        <v>112</v>
      </c>
      <c r="F510" s="362">
        <v>198.7</v>
      </c>
      <c r="G510" s="359">
        <f>6.3*1.2173</f>
        <v>7.66899</v>
      </c>
      <c r="H510" s="363">
        <f>F510*G510</f>
        <v>1523.828313</v>
      </c>
    </row>
    <row r="511" spans="2:8" ht="25.5">
      <c r="B511" s="358" t="s">
        <v>1439</v>
      </c>
      <c r="C511" s="360" t="s">
        <v>1440</v>
      </c>
      <c r="D511" s="361" t="s">
        <v>401</v>
      </c>
      <c r="E511" s="361" t="s">
        <v>112</v>
      </c>
      <c r="F511" s="362">
        <v>112.43015873</v>
      </c>
      <c r="G511" s="359">
        <f t="shared" ref="G511:G517" si="49">6.3*1.2173</f>
        <v>7.66899</v>
      </c>
      <c r="H511" s="363">
        <f t="shared" ref="H511:H529" si="50">F511*G511</f>
        <v>862.22576299878267</v>
      </c>
    </row>
    <row r="512" spans="2:8" ht="25.5">
      <c r="B512" s="358" t="s">
        <v>1441</v>
      </c>
      <c r="C512" s="360" t="s">
        <v>1442</v>
      </c>
      <c r="D512" s="361" t="s">
        <v>401</v>
      </c>
      <c r="E512" s="361" t="s">
        <v>112</v>
      </c>
      <c r="F512" s="362">
        <v>17.179365079</v>
      </c>
      <c r="G512" s="359">
        <f t="shared" si="49"/>
        <v>7.66899</v>
      </c>
      <c r="H512" s="363">
        <f t="shared" si="50"/>
        <v>131.74837899720021</v>
      </c>
    </row>
    <row r="513" spans="2:8" ht="25.5">
      <c r="B513" s="358" t="s">
        <v>1443</v>
      </c>
      <c r="C513" s="360" t="s">
        <v>1444</v>
      </c>
      <c r="D513" s="361" t="s">
        <v>401</v>
      </c>
      <c r="E513" s="361" t="s">
        <v>112</v>
      </c>
      <c r="F513" s="362">
        <v>26.7</v>
      </c>
      <c r="G513" s="359">
        <f t="shared" si="49"/>
        <v>7.66899</v>
      </c>
      <c r="H513" s="363">
        <f t="shared" si="50"/>
        <v>204.762033</v>
      </c>
    </row>
    <row r="514" spans="2:8" ht="25.5">
      <c r="B514" s="358" t="s">
        <v>1467</v>
      </c>
      <c r="C514" s="360" t="s">
        <v>1468</v>
      </c>
      <c r="D514" s="361" t="s">
        <v>401</v>
      </c>
      <c r="E514" s="361" t="s">
        <v>112</v>
      </c>
      <c r="F514" s="362">
        <v>85.760317459999996</v>
      </c>
      <c r="G514" s="359">
        <f t="shared" si="49"/>
        <v>7.66899</v>
      </c>
      <c r="H514" s="363">
        <f t="shared" si="50"/>
        <v>657.6950169975654</v>
      </c>
    </row>
    <row r="515" spans="2:8" ht="25.5">
      <c r="B515" s="358" t="s">
        <v>1445</v>
      </c>
      <c r="C515" s="360" t="s">
        <v>1446</v>
      </c>
      <c r="D515" s="361" t="s">
        <v>401</v>
      </c>
      <c r="E515" s="361" t="s">
        <v>112</v>
      </c>
      <c r="F515" s="362">
        <v>12.06984127</v>
      </c>
      <c r="G515" s="359">
        <f t="shared" si="49"/>
        <v>7.66899</v>
      </c>
      <c r="H515" s="363">
        <f t="shared" si="50"/>
        <v>92.563492001217298</v>
      </c>
    </row>
    <row r="516" spans="2:8" ht="25.5">
      <c r="B516" s="358" t="s">
        <v>1447</v>
      </c>
      <c r="C516" s="360" t="s">
        <v>1448</v>
      </c>
      <c r="D516" s="361" t="s">
        <v>401</v>
      </c>
      <c r="E516" s="361" t="s">
        <v>112</v>
      </c>
      <c r="F516" s="362">
        <v>34.43968254</v>
      </c>
      <c r="G516" s="359">
        <f t="shared" si="49"/>
        <v>7.66899</v>
      </c>
      <c r="H516" s="363">
        <f t="shared" si="50"/>
        <v>264.11758100243458</v>
      </c>
    </row>
    <row r="517" spans="2:8" ht="38.25">
      <c r="B517" s="358" t="s">
        <v>1477</v>
      </c>
      <c r="C517" s="360" t="s">
        <v>1478</v>
      </c>
      <c r="D517" s="361" t="s">
        <v>401</v>
      </c>
      <c r="E517" s="361" t="s">
        <v>112</v>
      </c>
      <c r="F517" s="362">
        <v>8.0603174600000003</v>
      </c>
      <c r="G517" s="359">
        <f t="shared" si="49"/>
        <v>7.66899</v>
      </c>
      <c r="H517" s="363">
        <f t="shared" si="50"/>
        <v>61.8144939975654</v>
      </c>
    </row>
    <row r="518" spans="2:8">
      <c r="B518" s="358" t="s">
        <v>1449</v>
      </c>
      <c r="C518" s="360" t="s">
        <v>1450</v>
      </c>
      <c r="D518" s="361" t="s">
        <v>401</v>
      </c>
      <c r="E518" s="361" t="s">
        <v>1451</v>
      </c>
      <c r="F518" s="362">
        <v>20</v>
      </c>
      <c r="G518" s="359">
        <f>45.28*1.2173</f>
        <v>55.119344000000005</v>
      </c>
      <c r="H518" s="363">
        <f t="shared" si="50"/>
        <v>1102.38688</v>
      </c>
    </row>
    <row r="519" spans="2:8">
      <c r="B519" s="358" t="s">
        <v>1452</v>
      </c>
      <c r="C519" s="360" t="s">
        <v>1453</v>
      </c>
      <c r="D519" s="361" t="s">
        <v>401</v>
      </c>
      <c r="E519" s="361" t="s">
        <v>37</v>
      </c>
      <c r="F519" s="362">
        <v>10</v>
      </c>
      <c r="G519" s="359">
        <f>49.4*1.2173</f>
        <v>60.134619999999998</v>
      </c>
      <c r="H519" s="363">
        <f t="shared" si="50"/>
        <v>601.34619999999995</v>
      </c>
    </row>
    <row r="520" spans="2:8" ht="25.5">
      <c r="B520" s="358">
        <v>11002</v>
      </c>
      <c r="C520" s="360" t="s">
        <v>1454</v>
      </c>
      <c r="D520" s="361" t="s">
        <v>401</v>
      </c>
      <c r="E520" s="361" t="s">
        <v>112</v>
      </c>
      <c r="F520" s="362">
        <v>3</v>
      </c>
      <c r="G520" s="359">
        <v>28.71</v>
      </c>
      <c r="H520" s="363">
        <f t="shared" si="50"/>
        <v>86.13</v>
      </c>
    </row>
    <row r="521" spans="2:8" ht="38.25">
      <c r="B521" s="358">
        <v>11058</v>
      </c>
      <c r="C521" s="360" t="s">
        <v>1455</v>
      </c>
      <c r="D521" s="361" t="s">
        <v>401</v>
      </c>
      <c r="E521" s="361" t="s">
        <v>37</v>
      </c>
      <c r="F521" s="362">
        <v>24</v>
      </c>
      <c r="G521" s="359">
        <v>0.44</v>
      </c>
      <c r="H521" s="363">
        <f t="shared" si="50"/>
        <v>10.56</v>
      </c>
    </row>
    <row r="522" spans="2:8" ht="38.25">
      <c r="B522" s="358">
        <v>11964</v>
      </c>
      <c r="C522" s="360" t="s">
        <v>1456</v>
      </c>
      <c r="D522" s="361" t="s">
        <v>401</v>
      </c>
      <c r="E522" s="361" t="s">
        <v>37</v>
      </c>
      <c r="F522" s="362">
        <v>12</v>
      </c>
      <c r="G522" s="359">
        <v>2.66</v>
      </c>
      <c r="H522" s="363">
        <f t="shared" si="50"/>
        <v>31.92</v>
      </c>
    </row>
    <row r="523" spans="2:8" ht="25.5">
      <c r="B523" s="358">
        <v>20259</v>
      </c>
      <c r="C523" s="360" t="s">
        <v>1457</v>
      </c>
      <c r="D523" s="361" t="s">
        <v>401</v>
      </c>
      <c r="E523" s="361" t="s">
        <v>15</v>
      </c>
      <c r="F523" s="362">
        <v>240</v>
      </c>
      <c r="G523" s="359">
        <v>15</v>
      </c>
      <c r="H523" s="363">
        <f t="shared" si="50"/>
        <v>3600</v>
      </c>
    </row>
    <row r="524" spans="2:8" ht="63.75">
      <c r="B524" s="358">
        <v>3081</v>
      </c>
      <c r="C524" s="360" t="s">
        <v>1458</v>
      </c>
      <c r="D524" s="361" t="s">
        <v>401</v>
      </c>
      <c r="E524" s="361" t="s">
        <v>663</v>
      </c>
      <c r="F524" s="362">
        <v>1</v>
      </c>
      <c r="G524" s="359">
        <v>124.05</v>
      </c>
      <c r="H524" s="363">
        <f t="shared" si="50"/>
        <v>124.05</v>
      </c>
    </row>
    <row r="525" spans="2:8" ht="38.25">
      <c r="B525" s="358">
        <v>40552</v>
      </c>
      <c r="C525" s="360" t="s">
        <v>1459</v>
      </c>
      <c r="D525" s="361" t="s">
        <v>401</v>
      </c>
      <c r="E525" s="361" t="s">
        <v>1395</v>
      </c>
      <c r="F525" s="362">
        <v>1</v>
      </c>
      <c r="G525" s="359">
        <v>52.16</v>
      </c>
      <c r="H525" s="363">
        <f t="shared" si="50"/>
        <v>52.16</v>
      </c>
    </row>
    <row r="526" spans="2:8" ht="38.25">
      <c r="B526" s="358" t="s">
        <v>1460</v>
      </c>
      <c r="C526" s="360" t="s">
        <v>1461</v>
      </c>
      <c r="D526" s="361" t="s">
        <v>12</v>
      </c>
      <c r="E526" s="361" t="s">
        <v>24</v>
      </c>
      <c r="F526" s="362">
        <v>66.984116718400003</v>
      </c>
      <c r="G526" s="359">
        <f>15.79*1.2173</f>
        <v>19.221167000000001</v>
      </c>
      <c r="H526" s="363">
        <f t="shared" si="50"/>
        <v>1287.5128937918585</v>
      </c>
    </row>
    <row r="527" spans="2:8" ht="51">
      <c r="B527" s="358">
        <v>7568</v>
      </c>
      <c r="C527" s="360" t="s">
        <v>1462</v>
      </c>
      <c r="D527" s="361" t="s">
        <v>401</v>
      </c>
      <c r="E527" s="361" t="s">
        <v>37</v>
      </c>
      <c r="F527" s="362">
        <v>12</v>
      </c>
      <c r="G527" s="359">
        <v>1.1000000000000001</v>
      </c>
      <c r="H527" s="363">
        <f t="shared" si="50"/>
        <v>13.200000000000001</v>
      </c>
    </row>
    <row r="528" spans="2:8" ht="25.5">
      <c r="B528" s="358" t="s">
        <v>1355</v>
      </c>
      <c r="C528" s="360" t="s">
        <v>1356</v>
      </c>
      <c r="D528" s="361" t="s">
        <v>12</v>
      </c>
      <c r="E528" s="361" t="s">
        <v>1128</v>
      </c>
      <c r="F528" s="362">
        <v>32.001623377000001</v>
      </c>
      <c r="G528" s="359">
        <v>20.5</v>
      </c>
      <c r="H528" s="363">
        <f t="shared" si="50"/>
        <v>656.03327922850008</v>
      </c>
    </row>
    <row r="529" spans="2:8" ht="25.5">
      <c r="B529" s="358" t="s">
        <v>1388</v>
      </c>
      <c r="C529" s="360" t="s">
        <v>1389</v>
      </c>
      <c r="D529" s="361" t="s">
        <v>12</v>
      </c>
      <c r="E529" s="361" t="s">
        <v>1128</v>
      </c>
      <c r="F529" s="362">
        <v>32.003679175999999</v>
      </c>
      <c r="G529" s="359">
        <v>26.05</v>
      </c>
      <c r="H529" s="363">
        <f t="shared" si="50"/>
        <v>833.69584253480002</v>
      </c>
    </row>
    <row r="530" spans="2:8">
      <c r="B530" s="699" t="s">
        <v>1231</v>
      </c>
      <c r="C530" s="700"/>
      <c r="D530" s="700"/>
      <c r="E530" s="700"/>
      <c r="F530" s="700"/>
      <c r="G530" s="701"/>
      <c r="H530" s="364">
        <f>SUM(H510:H529)</f>
        <v>12197.750167549924</v>
      </c>
    </row>
    <row r="531" spans="2:8">
      <c r="B531" s="702"/>
      <c r="C531" s="703"/>
      <c r="D531" s="703"/>
      <c r="E531" s="703"/>
      <c r="F531" s="703"/>
      <c r="G531" s="703"/>
      <c r="H531" s="704"/>
    </row>
    <row r="532" spans="2:8" ht="38.25">
      <c r="B532" s="367" t="s">
        <v>1995</v>
      </c>
      <c r="C532" s="368" t="s">
        <v>373</v>
      </c>
      <c r="D532" s="369" t="s">
        <v>12</v>
      </c>
      <c r="E532" s="369" t="s">
        <v>37</v>
      </c>
      <c r="F532" s="370"/>
      <c r="G532" s="356"/>
      <c r="H532" s="371"/>
    </row>
    <row r="533" spans="2:8" ht="25.5">
      <c r="B533" s="358" t="s">
        <v>1433</v>
      </c>
      <c r="C533" s="360" t="s">
        <v>1434</v>
      </c>
      <c r="D533" s="361" t="s">
        <v>401</v>
      </c>
      <c r="E533" s="361" t="s">
        <v>112</v>
      </c>
      <c r="F533" s="362">
        <v>32.200000000000003</v>
      </c>
      <c r="G533" s="359">
        <f>6.3*1.2173</f>
        <v>7.66899</v>
      </c>
      <c r="H533" s="363">
        <f>F533*G533</f>
        <v>246.94147800000002</v>
      </c>
    </row>
    <row r="534" spans="2:8" ht="25.5">
      <c r="B534" s="358" t="s">
        <v>1435</v>
      </c>
      <c r="C534" s="360" t="s">
        <v>1436</v>
      </c>
      <c r="D534" s="361" t="s">
        <v>401</v>
      </c>
      <c r="E534" s="361" t="s">
        <v>112</v>
      </c>
      <c r="F534" s="362">
        <v>24.9</v>
      </c>
      <c r="G534" s="359">
        <f t="shared" ref="G534:G539" si="51">6.3*1.2173</f>
        <v>7.66899</v>
      </c>
      <c r="H534" s="363">
        <f t="shared" ref="H534:H549" si="52">F534*G534</f>
        <v>190.95785099999998</v>
      </c>
    </row>
    <row r="535" spans="2:8" ht="25.5">
      <c r="B535" s="358" t="s">
        <v>1441</v>
      </c>
      <c r="C535" s="360" t="s">
        <v>1442</v>
      </c>
      <c r="D535" s="361" t="s">
        <v>401</v>
      </c>
      <c r="E535" s="361" t="s">
        <v>112</v>
      </c>
      <c r="F535" s="362">
        <v>6.2904761899999997</v>
      </c>
      <c r="G535" s="359">
        <f t="shared" si="51"/>
        <v>7.66899</v>
      </c>
      <c r="H535" s="363">
        <f t="shared" si="52"/>
        <v>48.241598996348095</v>
      </c>
    </row>
    <row r="536" spans="2:8" ht="25.5">
      <c r="B536" s="358" t="s">
        <v>1443</v>
      </c>
      <c r="C536" s="360" t="s">
        <v>1444</v>
      </c>
      <c r="D536" s="361" t="s">
        <v>401</v>
      </c>
      <c r="E536" s="361" t="s">
        <v>112</v>
      </c>
      <c r="F536" s="362">
        <v>9.5301587300000001</v>
      </c>
      <c r="G536" s="359">
        <f t="shared" si="51"/>
        <v>7.66899</v>
      </c>
      <c r="H536" s="363">
        <f t="shared" si="52"/>
        <v>73.086691998782698</v>
      </c>
    </row>
    <row r="537" spans="2:8" ht="25.5">
      <c r="B537" s="358" t="s">
        <v>1445</v>
      </c>
      <c r="C537" s="360" t="s">
        <v>1446</v>
      </c>
      <c r="D537" s="361" t="s">
        <v>401</v>
      </c>
      <c r="E537" s="361" t="s">
        <v>112</v>
      </c>
      <c r="F537" s="362">
        <v>5.4</v>
      </c>
      <c r="G537" s="359">
        <f t="shared" si="51"/>
        <v>7.66899</v>
      </c>
      <c r="H537" s="363">
        <f t="shared" si="52"/>
        <v>41.412546000000006</v>
      </c>
    </row>
    <row r="538" spans="2:8" ht="25.5">
      <c r="B538" s="358" t="s">
        <v>1447</v>
      </c>
      <c r="C538" s="360" t="s">
        <v>1448</v>
      </c>
      <c r="D538" s="361" t="s">
        <v>401</v>
      </c>
      <c r="E538" s="361" t="s">
        <v>112</v>
      </c>
      <c r="F538" s="362">
        <v>21.160317460000002</v>
      </c>
      <c r="G538" s="359">
        <f t="shared" si="51"/>
        <v>7.66899</v>
      </c>
      <c r="H538" s="363">
        <f t="shared" si="52"/>
        <v>162.27826299756541</v>
      </c>
    </row>
    <row r="539" spans="2:8" ht="25.5">
      <c r="B539" s="358" t="s">
        <v>1469</v>
      </c>
      <c r="C539" s="360" t="s">
        <v>1470</v>
      </c>
      <c r="D539" s="361" t="s">
        <v>401</v>
      </c>
      <c r="E539" s="361" t="s">
        <v>112</v>
      </c>
      <c r="F539" s="362">
        <v>9</v>
      </c>
      <c r="G539" s="359">
        <f t="shared" si="51"/>
        <v>7.66899</v>
      </c>
      <c r="H539" s="363">
        <f t="shared" si="52"/>
        <v>69.020910000000001</v>
      </c>
    </row>
    <row r="540" spans="2:8">
      <c r="B540" s="358" t="s">
        <v>1449</v>
      </c>
      <c r="C540" s="360" t="s">
        <v>1450</v>
      </c>
      <c r="D540" s="361" t="s">
        <v>401</v>
      </c>
      <c r="E540" s="361" t="s">
        <v>1451</v>
      </c>
      <c r="F540" s="362">
        <v>10</v>
      </c>
      <c r="G540" s="359">
        <f>45.28*1.2173</f>
        <v>55.119344000000005</v>
      </c>
      <c r="H540" s="363">
        <f t="shared" si="52"/>
        <v>551.19344000000001</v>
      </c>
    </row>
    <row r="541" spans="2:8">
      <c r="B541" s="358" t="s">
        <v>1452</v>
      </c>
      <c r="C541" s="360" t="s">
        <v>1453</v>
      </c>
      <c r="D541" s="361" t="s">
        <v>401</v>
      </c>
      <c r="E541" s="361" t="s">
        <v>37</v>
      </c>
      <c r="F541" s="362">
        <v>5</v>
      </c>
      <c r="G541" s="359">
        <f>49.4*1.2173</f>
        <v>60.134619999999998</v>
      </c>
      <c r="H541" s="363">
        <f t="shared" si="52"/>
        <v>300.67309999999998</v>
      </c>
    </row>
    <row r="542" spans="2:8" ht="25.5">
      <c r="B542" s="358">
        <v>11002</v>
      </c>
      <c r="C542" s="360" t="s">
        <v>1454</v>
      </c>
      <c r="D542" s="361" t="s">
        <v>401</v>
      </c>
      <c r="E542" s="361" t="s">
        <v>112</v>
      </c>
      <c r="F542" s="362">
        <v>0.8</v>
      </c>
      <c r="G542" s="359">
        <v>34.57</v>
      </c>
      <c r="H542" s="363">
        <f t="shared" si="52"/>
        <v>27.656000000000002</v>
      </c>
    </row>
    <row r="543" spans="2:8" ht="38.25">
      <c r="B543" s="358">
        <v>11058</v>
      </c>
      <c r="C543" s="360" t="s">
        <v>1455</v>
      </c>
      <c r="D543" s="361" t="s">
        <v>401</v>
      </c>
      <c r="E543" s="361" t="s">
        <v>37</v>
      </c>
      <c r="F543" s="362">
        <v>12</v>
      </c>
      <c r="G543" s="359">
        <v>0.55000000000000004</v>
      </c>
      <c r="H543" s="363">
        <f t="shared" si="52"/>
        <v>6.6000000000000005</v>
      </c>
    </row>
    <row r="544" spans="2:8" ht="25.5">
      <c r="B544" s="358">
        <v>20259</v>
      </c>
      <c r="C544" s="360" t="s">
        <v>1457</v>
      </c>
      <c r="D544" s="361" t="s">
        <v>401</v>
      </c>
      <c r="E544" s="361" t="s">
        <v>15</v>
      </c>
      <c r="F544" s="362">
        <v>29.6</v>
      </c>
      <c r="G544" s="359">
        <v>15</v>
      </c>
      <c r="H544" s="363">
        <f t="shared" si="52"/>
        <v>444</v>
      </c>
    </row>
    <row r="545" spans="2:8" ht="38.25">
      <c r="B545" s="358">
        <v>40552</v>
      </c>
      <c r="C545" s="360" t="s">
        <v>1459</v>
      </c>
      <c r="D545" s="361" t="s">
        <v>401</v>
      </c>
      <c r="E545" s="361" t="s">
        <v>1395</v>
      </c>
      <c r="F545" s="362">
        <v>0.25</v>
      </c>
      <c r="G545" s="359">
        <v>52.16</v>
      </c>
      <c r="H545" s="363">
        <f t="shared" si="52"/>
        <v>13.04</v>
      </c>
    </row>
    <row r="546" spans="2:8" ht="38.25">
      <c r="B546" s="358" t="s">
        <v>1460</v>
      </c>
      <c r="C546" s="360" t="s">
        <v>1461</v>
      </c>
      <c r="D546" s="361" t="s">
        <v>12</v>
      </c>
      <c r="E546" s="361" t="s">
        <v>24</v>
      </c>
      <c r="F546" s="362">
        <v>6.590246992</v>
      </c>
      <c r="G546" s="359">
        <f>15.79*1.2173</f>
        <v>19.221167000000001</v>
      </c>
      <c r="H546" s="363">
        <f t="shared" si="52"/>
        <v>126.67223800447967</v>
      </c>
    </row>
    <row r="547" spans="2:8" ht="51">
      <c r="B547" s="358">
        <v>7568</v>
      </c>
      <c r="C547" s="360" t="s">
        <v>1462</v>
      </c>
      <c r="D547" s="361" t="s">
        <v>401</v>
      </c>
      <c r="E547" s="361" t="s">
        <v>37</v>
      </c>
      <c r="F547" s="362">
        <v>5</v>
      </c>
      <c r="G547" s="359">
        <v>1.1000000000000001</v>
      </c>
      <c r="H547" s="363">
        <f t="shared" si="52"/>
        <v>5.5</v>
      </c>
    </row>
    <row r="548" spans="2:8" ht="25.5">
      <c r="B548" s="358" t="s">
        <v>1355</v>
      </c>
      <c r="C548" s="360" t="s">
        <v>1356</v>
      </c>
      <c r="D548" s="361" t="s">
        <v>12</v>
      </c>
      <c r="E548" s="361" t="s">
        <v>1128</v>
      </c>
      <c r="F548" s="362">
        <v>8</v>
      </c>
      <c r="G548" s="359">
        <v>20.5</v>
      </c>
      <c r="H548" s="363">
        <f t="shared" si="52"/>
        <v>164</v>
      </c>
    </row>
    <row r="549" spans="2:8" ht="25.5">
      <c r="B549" s="358" t="s">
        <v>1388</v>
      </c>
      <c r="C549" s="360" t="s">
        <v>1389</v>
      </c>
      <c r="D549" s="361" t="s">
        <v>12</v>
      </c>
      <c r="E549" s="361" t="s">
        <v>1128</v>
      </c>
      <c r="F549" s="362">
        <v>8.0007358350000004</v>
      </c>
      <c r="G549" s="359">
        <v>26.05</v>
      </c>
      <c r="H549" s="363">
        <f t="shared" si="52"/>
        <v>208.41916850175002</v>
      </c>
    </row>
    <row r="550" spans="2:8">
      <c r="B550" s="699" t="s">
        <v>1231</v>
      </c>
      <c r="C550" s="700"/>
      <c r="D550" s="700"/>
      <c r="E550" s="700"/>
      <c r="F550" s="700"/>
      <c r="G550" s="701"/>
      <c r="H550" s="364">
        <f>SUM(H533:H549)</f>
        <v>2679.6932854989259</v>
      </c>
    </row>
    <row r="551" spans="2:8">
      <c r="B551" s="702"/>
      <c r="C551" s="703"/>
      <c r="D551" s="703"/>
      <c r="E551" s="703"/>
      <c r="F551" s="703"/>
      <c r="G551" s="703"/>
      <c r="H551" s="704"/>
    </row>
    <row r="552" spans="2:8" ht="38.25">
      <c r="B552" s="367" t="s">
        <v>1996</v>
      </c>
      <c r="C552" s="368" t="s">
        <v>374</v>
      </c>
      <c r="D552" s="369" t="s">
        <v>12</v>
      </c>
      <c r="E552" s="369" t="s">
        <v>37</v>
      </c>
      <c r="F552" s="370"/>
      <c r="G552" s="356"/>
      <c r="H552" s="371"/>
    </row>
    <row r="553" spans="2:8" ht="25.5">
      <c r="B553" s="358" t="s">
        <v>1433</v>
      </c>
      <c r="C553" s="360" t="s">
        <v>1434</v>
      </c>
      <c r="D553" s="361" t="s">
        <v>401</v>
      </c>
      <c r="E553" s="361" t="s">
        <v>112</v>
      </c>
      <c r="F553" s="362">
        <v>8.0507936509999993</v>
      </c>
      <c r="G553" s="359">
        <f>6.3*1.2173</f>
        <v>7.66899</v>
      </c>
      <c r="H553" s="363">
        <f>F553*G553</f>
        <v>61.741456001582485</v>
      </c>
    </row>
    <row r="554" spans="2:8" ht="25.5">
      <c r="B554" s="358" t="s">
        <v>1435</v>
      </c>
      <c r="C554" s="360" t="s">
        <v>1436</v>
      </c>
      <c r="D554" s="361" t="s">
        <v>401</v>
      </c>
      <c r="E554" s="361" t="s">
        <v>112</v>
      </c>
      <c r="F554" s="362">
        <v>7.4</v>
      </c>
      <c r="G554" s="359">
        <f t="shared" ref="G554:G559" si="53">6.3*1.2173</f>
        <v>7.66899</v>
      </c>
      <c r="H554" s="363">
        <f t="shared" ref="H554:H569" si="54">F554*G554</f>
        <v>56.750526000000001</v>
      </c>
    </row>
    <row r="555" spans="2:8" ht="25.5">
      <c r="B555" s="358" t="s">
        <v>1441</v>
      </c>
      <c r="C555" s="360" t="s">
        <v>1442</v>
      </c>
      <c r="D555" s="361" t="s">
        <v>401</v>
      </c>
      <c r="E555" s="361" t="s">
        <v>112</v>
      </c>
      <c r="F555" s="362">
        <v>2.1507936509999999</v>
      </c>
      <c r="G555" s="359">
        <f t="shared" si="53"/>
        <v>7.66899</v>
      </c>
      <c r="H555" s="363">
        <f t="shared" si="54"/>
        <v>16.494415001582489</v>
      </c>
    </row>
    <row r="556" spans="2:8" ht="25.5">
      <c r="B556" s="358" t="s">
        <v>1443</v>
      </c>
      <c r="C556" s="360" t="s">
        <v>1444</v>
      </c>
      <c r="D556" s="361" t="s">
        <v>401</v>
      </c>
      <c r="E556" s="361" t="s">
        <v>112</v>
      </c>
      <c r="F556" s="362">
        <v>5.0301587300000001</v>
      </c>
      <c r="G556" s="359">
        <f t="shared" si="53"/>
        <v>7.66899</v>
      </c>
      <c r="H556" s="363">
        <f t="shared" si="54"/>
        <v>38.576236998782704</v>
      </c>
    </row>
    <row r="557" spans="2:8" ht="25.5">
      <c r="B557" s="358" t="s">
        <v>1445</v>
      </c>
      <c r="C557" s="360" t="s">
        <v>1446</v>
      </c>
      <c r="D557" s="361" t="s">
        <v>401</v>
      </c>
      <c r="E557" s="361" t="s">
        <v>112</v>
      </c>
      <c r="F557" s="362">
        <v>2.2000000000000002</v>
      </c>
      <c r="G557" s="359">
        <f t="shared" si="53"/>
        <v>7.66899</v>
      </c>
      <c r="H557" s="363">
        <f t="shared" si="54"/>
        <v>16.871778000000003</v>
      </c>
    </row>
    <row r="558" spans="2:8" ht="25.5">
      <c r="B558" s="358" t="s">
        <v>1447</v>
      </c>
      <c r="C558" s="360" t="s">
        <v>1448</v>
      </c>
      <c r="D558" s="361" t="s">
        <v>401</v>
      </c>
      <c r="E558" s="361" t="s">
        <v>112</v>
      </c>
      <c r="F558" s="362">
        <v>12.050793650999999</v>
      </c>
      <c r="G558" s="359">
        <f t="shared" si="53"/>
        <v>7.66899</v>
      </c>
      <c r="H558" s="363">
        <f t="shared" si="54"/>
        <v>92.417416001582481</v>
      </c>
    </row>
    <row r="559" spans="2:8" ht="25.5">
      <c r="B559" s="358" t="s">
        <v>1469</v>
      </c>
      <c r="C559" s="360" t="s">
        <v>1470</v>
      </c>
      <c r="D559" s="361" t="s">
        <v>401</v>
      </c>
      <c r="E559" s="361" t="s">
        <v>112</v>
      </c>
      <c r="F559" s="362">
        <v>3.4</v>
      </c>
      <c r="G559" s="359">
        <f t="shared" si="53"/>
        <v>7.66899</v>
      </c>
      <c r="H559" s="363">
        <f t="shared" si="54"/>
        <v>26.074566000000001</v>
      </c>
    </row>
    <row r="560" spans="2:8">
      <c r="B560" s="358" t="s">
        <v>1449</v>
      </c>
      <c r="C560" s="360" t="s">
        <v>1450</v>
      </c>
      <c r="D560" s="361" t="s">
        <v>401</v>
      </c>
      <c r="E560" s="361" t="s">
        <v>1451</v>
      </c>
      <c r="F560" s="362">
        <v>4</v>
      </c>
      <c r="G560" s="359">
        <f>45.28*1.2173</f>
        <v>55.119344000000005</v>
      </c>
      <c r="H560" s="363">
        <f t="shared" si="54"/>
        <v>220.47737600000002</v>
      </c>
    </row>
    <row r="561" spans="2:8">
      <c r="B561" s="358" t="s">
        <v>1452</v>
      </c>
      <c r="C561" s="360" t="s">
        <v>1453</v>
      </c>
      <c r="D561" s="361" t="s">
        <v>401</v>
      </c>
      <c r="E561" s="361" t="s">
        <v>37</v>
      </c>
      <c r="F561" s="362">
        <v>2</v>
      </c>
      <c r="G561" s="359">
        <f>49.4*1.2173</f>
        <v>60.134619999999998</v>
      </c>
      <c r="H561" s="363">
        <f t="shared" si="54"/>
        <v>120.26924</v>
      </c>
    </row>
    <row r="562" spans="2:8" ht="25.5">
      <c r="B562" s="358">
        <v>11002</v>
      </c>
      <c r="C562" s="360" t="s">
        <v>1454</v>
      </c>
      <c r="D562" s="361" t="s">
        <v>401</v>
      </c>
      <c r="E562" s="361" t="s">
        <v>112</v>
      </c>
      <c r="F562" s="362">
        <v>0.4</v>
      </c>
      <c r="G562" s="359">
        <v>34.57</v>
      </c>
      <c r="H562" s="363">
        <f t="shared" si="54"/>
        <v>13.828000000000001</v>
      </c>
    </row>
    <row r="563" spans="2:8" ht="38.25">
      <c r="B563" s="358">
        <v>11058</v>
      </c>
      <c r="C563" s="360" t="s">
        <v>1455</v>
      </c>
      <c r="D563" s="361" t="s">
        <v>401</v>
      </c>
      <c r="E563" s="361" t="s">
        <v>37</v>
      </c>
      <c r="F563" s="362">
        <v>4</v>
      </c>
      <c r="G563" s="359">
        <v>0.55000000000000004</v>
      </c>
      <c r="H563" s="363">
        <f t="shared" si="54"/>
        <v>2.2000000000000002</v>
      </c>
    </row>
    <row r="564" spans="2:8" ht="25.5">
      <c r="B564" s="358">
        <v>20259</v>
      </c>
      <c r="C564" s="360" t="s">
        <v>1457</v>
      </c>
      <c r="D564" s="361" t="s">
        <v>401</v>
      </c>
      <c r="E564" s="361" t="s">
        <v>15</v>
      </c>
      <c r="F564" s="362">
        <v>10.8</v>
      </c>
      <c r="G564" s="359">
        <v>15</v>
      </c>
      <c r="H564" s="363">
        <f t="shared" si="54"/>
        <v>162</v>
      </c>
    </row>
    <row r="565" spans="2:8" ht="38.25">
      <c r="B565" s="358">
        <v>40552</v>
      </c>
      <c r="C565" s="360" t="s">
        <v>1459</v>
      </c>
      <c r="D565" s="361" t="s">
        <v>401</v>
      </c>
      <c r="E565" s="361" t="s">
        <v>1395</v>
      </c>
      <c r="F565" s="362">
        <v>0.1</v>
      </c>
      <c r="G565" s="359">
        <v>52.16</v>
      </c>
      <c r="H565" s="363">
        <f t="shared" si="54"/>
        <v>5.2160000000000002</v>
      </c>
    </row>
    <row r="566" spans="2:8" ht="38.25">
      <c r="B566" s="358" t="s">
        <v>1460</v>
      </c>
      <c r="C566" s="360" t="s">
        <v>1461</v>
      </c>
      <c r="D566" s="361" t="s">
        <v>12</v>
      </c>
      <c r="E566" s="361" t="s">
        <v>24</v>
      </c>
      <c r="F566" s="362">
        <v>2.2501583279999999</v>
      </c>
      <c r="G566" s="359">
        <f>15.79*1.2173</f>
        <v>19.221167000000001</v>
      </c>
      <c r="H566" s="363">
        <f t="shared" si="54"/>
        <v>43.250668998928781</v>
      </c>
    </row>
    <row r="567" spans="2:8" ht="51">
      <c r="B567" s="358">
        <v>7568</v>
      </c>
      <c r="C567" s="360" t="s">
        <v>1462</v>
      </c>
      <c r="D567" s="361" t="s">
        <v>401</v>
      </c>
      <c r="E567" s="361" t="s">
        <v>37</v>
      </c>
      <c r="F567" s="362">
        <v>4</v>
      </c>
      <c r="G567" s="359">
        <v>1.1000000000000001</v>
      </c>
      <c r="H567" s="363">
        <f t="shared" si="54"/>
        <v>4.4000000000000004</v>
      </c>
    </row>
    <row r="568" spans="2:8" ht="25.5">
      <c r="B568" s="358" t="s">
        <v>1355</v>
      </c>
      <c r="C568" s="360" t="s">
        <v>1356</v>
      </c>
      <c r="D568" s="361" t="s">
        <v>12</v>
      </c>
      <c r="E568" s="361" t="s">
        <v>1128</v>
      </c>
      <c r="F568" s="362">
        <v>4</v>
      </c>
      <c r="G568" s="359">
        <v>20.5</v>
      </c>
      <c r="H568" s="363">
        <f t="shared" si="54"/>
        <v>82</v>
      </c>
    </row>
    <row r="569" spans="2:8" ht="25.5">
      <c r="B569" s="358" t="s">
        <v>1388</v>
      </c>
      <c r="C569" s="360" t="s">
        <v>1389</v>
      </c>
      <c r="D569" s="361" t="s">
        <v>12</v>
      </c>
      <c r="E569" s="361" t="s">
        <v>1128</v>
      </c>
      <c r="F569" s="362">
        <v>4.0007358350000004</v>
      </c>
      <c r="G569" s="359">
        <v>26.05</v>
      </c>
      <c r="H569" s="363">
        <f t="shared" si="54"/>
        <v>104.21916850175002</v>
      </c>
    </row>
    <row r="570" spans="2:8">
      <c r="B570" s="699" t="s">
        <v>1231</v>
      </c>
      <c r="C570" s="700"/>
      <c r="D570" s="700"/>
      <c r="E570" s="700"/>
      <c r="F570" s="700"/>
      <c r="G570" s="701"/>
      <c r="H570" s="364">
        <f>SUM(H553:H569)</f>
        <v>1066.7868475042089</v>
      </c>
    </row>
    <row r="571" spans="2:8">
      <c r="B571" s="711"/>
      <c r="C571" s="712"/>
      <c r="D571" s="712"/>
      <c r="E571" s="712"/>
      <c r="F571" s="712"/>
      <c r="G571" s="712"/>
      <c r="H571" s="713"/>
    </row>
    <row r="572" spans="2:8" ht="38.25">
      <c r="B572" s="367" t="s">
        <v>1997</v>
      </c>
      <c r="C572" s="368" t="s">
        <v>375</v>
      </c>
      <c r="D572" s="369" t="s">
        <v>12</v>
      </c>
      <c r="E572" s="369" t="s">
        <v>37</v>
      </c>
      <c r="F572" s="370"/>
      <c r="G572" s="356"/>
      <c r="H572" s="371"/>
    </row>
    <row r="573" spans="2:8" ht="25.5">
      <c r="B573" s="358" t="s">
        <v>1433</v>
      </c>
      <c r="C573" s="360" t="s">
        <v>1434</v>
      </c>
      <c r="D573" s="361" t="s">
        <v>401</v>
      </c>
      <c r="E573" s="361" t="s">
        <v>112</v>
      </c>
      <c r="F573" s="362">
        <v>32.200000000000003</v>
      </c>
      <c r="G573" s="359">
        <f>6.3*1.2173</f>
        <v>7.66899</v>
      </c>
      <c r="H573" s="363">
        <f>F573*G573</f>
        <v>246.94147800000002</v>
      </c>
    </row>
    <row r="574" spans="2:8" ht="25.5">
      <c r="B574" s="358" t="s">
        <v>1435</v>
      </c>
      <c r="C574" s="360" t="s">
        <v>1436</v>
      </c>
      <c r="D574" s="361" t="s">
        <v>401</v>
      </c>
      <c r="E574" s="361" t="s">
        <v>112</v>
      </c>
      <c r="F574" s="362">
        <v>24.9</v>
      </c>
      <c r="G574" s="359">
        <f t="shared" ref="G574:G579" si="55">6.3*1.2173</f>
        <v>7.66899</v>
      </c>
      <c r="H574" s="363">
        <f t="shared" ref="H574:H589" si="56">F574*G574</f>
        <v>190.95785099999998</v>
      </c>
    </row>
    <row r="575" spans="2:8" ht="25.5">
      <c r="B575" s="358" t="s">
        <v>1441</v>
      </c>
      <c r="C575" s="360" t="s">
        <v>1442</v>
      </c>
      <c r="D575" s="361" t="s">
        <v>401</v>
      </c>
      <c r="E575" s="361" t="s">
        <v>112</v>
      </c>
      <c r="F575" s="362">
        <v>6.2904761899999997</v>
      </c>
      <c r="G575" s="359">
        <f t="shared" si="55"/>
        <v>7.66899</v>
      </c>
      <c r="H575" s="363">
        <f t="shared" si="56"/>
        <v>48.241598996348095</v>
      </c>
    </row>
    <row r="576" spans="2:8" ht="25.5">
      <c r="B576" s="358" t="s">
        <v>1443</v>
      </c>
      <c r="C576" s="360" t="s">
        <v>1444</v>
      </c>
      <c r="D576" s="361" t="s">
        <v>401</v>
      </c>
      <c r="E576" s="361" t="s">
        <v>112</v>
      </c>
      <c r="F576" s="362">
        <v>9.5301587300000001</v>
      </c>
      <c r="G576" s="359">
        <f t="shared" si="55"/>
        <v>7.66899</v>
      </c>
      <c r="H576" s="363">
        <f t="shared" si="56"/>
        <v>73.086691998782698</v>
      </c>
    </row>
    <row r="577" spans="2:8" ht="25.5">
      <c r="B577" s="358" t="s">
        <v>1445</v>
      </c>
      <c r="C577" s="360" t="s">
        <v>1446</v>
      </c>
      <c r="D577" s="361" t="s">
        <v>401</v>
      </c>
      <c r="E577" s="361" t="s">
        <v>112</v>
      </c>
      <c r="F577" s="362">
        <v>5.4</v>
      </c>
      <c r="G577" s="359">
        <f t="shared" si="55"/>
        <v>7.66899</v>
      </c>
      <c r="H577" s="363">
        <f t="shared" si="56"/>
        <v>41.412546000000006</v>
      </c>
    </row>
    <row r="578" spans="2:8" ht="25.5">
      <c r="B578" s="358" t="s">
        <v>1447</v>
      </c>
      <c r="C578" s="360" t="s">
        <v>1448</v>
      </c>
      <c r="D578" s="361" t="s">
        <v>401</v>
      </c>
      <c r="E578" s="361" t="s">
        <v>112</v>
      </c>
      <c r="F578" s="362">
        <v>21.160317460000002</v>
      </c>
      <c r="G578" s="359">
        <f t="shared" si="55"/>
        <v>7.66899</v>
      </c>
      <c r="H578" s="363">
        <f t="shared" si="56"/>
        <v>162.27826299756541</v>
      </c>
    </row>
    <row r="579" spans="2:8" ht="25.5">
      <c r="B579" s="358" t="s">
        <v>1469</v>
      </c>
      <c r="C579" s="360" t="s">
        <v>1470</v>
      </c>
      <c r="D579" s="361" t="s">
        <v>401</v>
      </c>
      <c r="E579" s="361" t="s">
        <v>112</v>
      </c>
      <c r="F579" s="362">
        <v>9</v>
      </c>
      <c r="G579" s="359">
        <f t="shared" si="55"/>
        <v>7.66899</v>
      </c>
      <c r="H579" s="363">
        <f t="shared" si="56"/>
        <v>69.020910000000001</v>
      </c>
    </row>
    <row r="580" spans="2:8">
      <c r="B580" s="358" t="s">
        <v>1449</v>
      </c>
      <c r="C580" s="360" t="s">
        <v>1450</v>
      </c>
      <c r="D580" s="361" t="s">
        <v>401</v>
      </c>
      <c r="E580" s="361" t="s">
        <v>1451</v>
      </c>
      <c r="F580" s="362">
        <v>10</v>
      </c>
      <c r="G580" s="359">
        <f>45.28*1.2173</f>
        <v>55.119344000000005</v>
      </c>
      <c r="H580" s="363">
        <f t="shared" si="56"/>
        <v>551.19344000000001</v>
      </c>
    </row>
    <row r="581" spans="2:8">
      <c r="B581" s="358" t="s">
        <v>1452</v>
      </c>
      <c r="C581" s="360" t="s">
        <v>1453</v>
      </c>
      <c r="D581" s="361" t="s">
        <v>401</v>
      </c>
      <c r="E581" s="361" t="s">
        <v>37</v>
      </c>
      <c r="F581" s="362">
        <v>5</v>
      </c>
      <c r="G581" s="359">
        <f>49.4*1.2173</f>
        <v>60.134619999999998</v>
      </c>
      <c r="H581" s="363">
        <f t="shared" si="56"/>
        <v>300.67309999999998</v>
      </c>
    </row>
    <row r="582" spans="2:8" ht="25.5">
      <c r="B582" s="358">
        <v>11002</v>
      </c>
      <c r="C582" s="360" t="s">
        <v>1454</v>
      </c>
      <c r="D582" s="361" t="s">
        <v>401</v>
      </c>
      <c r="E582" s="361" t="s">
        <v>112</v>
      </c>
      <c r="F582" s="362">
        <v>0.8</v>
      </c>
      <c r="G582" s="359">
        <v>34.57</v>
      </c>
      <c r="H582" s="363">
        <f t="shared" si="56"/>
        <v>27.656000000000002</v>
      </c>
    </row>
    <row r="583" spans="2:8" ht="38.25">
      <c r="B583" s="358">
        <v>11058</v>
      </c>
      <c r="C583" s="360" t="s">
        <v>1455</v>
      </c>
      <c r="D583" s="361" t="s">
        <v>401</v>
      </c>
      <c r="E583" s="361" t="s">
        <v>37</v>
      </c>
      <c r="F583" s="362">
        <v>12</v>
      </c>
      <c r="G583" s="359">
        <v>0.55000000000000004</v>
      </c>
      <c r="H583" s="363">
        <f t="shared" si="56"/>
        <v>6.6000000000000005</v>
      </c>
    </row>
    <row r="584" spans="2:8" ht="25.5">
      <c r="B584" s="358">
        <v>20259</v>
      </c>
      <c r="C584" s="360" t="s">
        <v>1457</v>
      </c>
      <c r="D584" s="361" t="s">
        <v>401</v>
      </c>
      <c r="E584" s="361" t="s">
        <v>15</v>
      </c>
      <c r="F584" s="362">
        <v>28.5</v>
      </c>
      <c r="G584" s="359">
        <v>15</v>
      </c>
      <c r="H584" s="363">
        <f t="shared" si="56"/>
        <v>427.5</v>
      </c>
    </row>
    <row r="585" spans="2:8" ht="38.25">
      <c r="B585" s="358">
        <v>40552</v>
      </c>
      <c r="C585" s="360" t="s">
        <v>1459</v>
      </c>
      <c r="D585" s="361" t="s">
        <v>401</v>
      </c>
      <c r="E585" s="361" t="s">
        <v>1395</v>
      </c>
      <c r="F585" s="362">
        <v>0.25</v>
      </c>
      <c r="G585" s="359">
        <v>52.16</v>
      </c>
      <c r="H585" s="363">
        <f t="shared" si="56"/>
        <v>13.04</v>
      </c>
    </row>
    <row r="586" spans="2:8" ht="38.25">
      <c r="B586" s="358" t="s">
        <v>1460</v>
      </c>
      <c r="C586" s="360" t="s">
        <v>1461</v>
      </c>
      <c r="D586" s="361" t="s">
        <v>12</v>
      </c>
      <c r="E586" s="361" t="s">
        <v>24</v>
      </c>
      <c r="F586" s="362">
        <v>6.1602279920000003</v>
      </c>
      <c r="G586" s="359">
        <f>15.79*1.2173</f>
        <v>19.221167000000001</v>
      </c>
      <c r="H586" s="363">
        <f t="shared" si="56"/>
        <v>118.40677099230668</v>
      </c>
    </row>
    <row r="587" spans="2:8" ht="51">
      <c r="B587" s="358">
        <v>7568</v>
      </c>
      <c r="C587" s="360" t="s">
        <v>1462</v>
      </c>
      <c r="D587" s="361" t="s">
        <v>401</v>
      </c>
      <c r="E587" s="361" t="s">
        <v>37</v>
      </c>
      <c r="F587" s="362">
        <v>5</v>
      </c>
      <c r="G587" s="359">
        <v>1.1000000000000001</v>
      </c>
      <c r="H587" s="363">
        <f t="shared" si="56"/>
        <v>5.5</v>
      </c>
    </row>
    <row r="588" spans="2:8" ht="25.5">
      <c r="B588" s="358" t="s">
        <v>1355</v>
      </c>
      <c r="C588" s="360" t="s">
        <v>1356</v>
      </c>
      <c r="D588" s="361" t="s">
        <v>12</v>
      </c>
      <c r="E588" s="361" t="s">
        <v>1128</v>
      </c>
      <c r="F588" s="362">
        <v>8</v>
      </c>
      <c r="G588" s="359">
        <v>20.5</v>
      </c>
      <c r="H588" s="363">
        <f t="shared" si="56"/>
        <v>164</v>
      </c>
    </row>
    <row r="589" spans="2:8" ht="25.5">
      <c r="B589" s="358" t="s">
        <v>1388</v>
      </c>
      <c r="C589" s="360" t="s">
        <v>1389</v>
      </c>
      <c r="D589" s="361" t="s">
        <v>12</v>
      </c>
      <c r="E589" s="361" t="s">
        <v>1128</v>
      </c>
      <c r="F589" s="362">
        <v>8.0007358350000004</v>
      </c>
      <c r="G589" s="359">
        <v>26.05</v>
      </c>
      <c r="H589" s="363">
        <f t="shared" si="56"/>
        <v>208.41916850175002</v>
      </c>
    </row>
    <row r="590" spans="2:8">
      <c r="B590" s="699" t="s">
        <v>1231</v>
      </c>
      <c r="C590" s="700"/>
      <c r="D590" s="700"/>
      <c r="E590" s="700"/>
      <c r="F590" s="700"/>
      <c r="G590" s="701"/>
      <c r="H590" s="364">
        <f>SUM(H573:H589)</f>
        <v>2654.9278184867526</v>
      </c>
    </row>
    <row r="591" spans="2:8">
      <c r="B591" s="702"/>
      <c r="C591" s="703"/>
      <c r="D591" s="703"/>
      <c r="E591" s="703"/>
      <c r="F591" s="703"/>
      <c r="G591" s="703"/>
      <c r="H591" s="704"/>
    </row>
    <row r="592" spans="2:8" ht="51">
      <c r="B592" s="367" t="s">
        <v>1998</v>
      </c>
      <c r="C592" s="368" t="s">
        <v>376</v>
      </c>
      <c r="D592" s="369" t="s">
        <v>12</v>
      </c>
      <c r="E592" s="369" t="s">
        <v>37</v>
      </c>
      <c r="F592" s="370"/>
      <c r="G592" s="356"/>
      <c r="H592" s="371"/>
    </row>
    <row r="593" spans="2:8" ht="25.5">
      <c r="B593" s="358" t="s">
        <v>1433</v>
      </c>
      <c r="C593" s="360" t="s">
        <v>1434</v>
      </c>
      <c r="D593" s="361" t="s">
        <v>401</v>
      </c>
      <c r="E593" s="361" t="s">
        <v>112</v>
      </c>
      <c r="F593" s="362">
        <v>32.200000000000003</v>
      </c>
      <c r="G593" s="359">
        <f>6.3*1.2173</f>
        <v>7.66899</v>
      </c>
      <c r="H593" s="363">
        <f>F593*G593</f>
        <v>246.94147800000002</v>
      </c>
    </row>
    <row r="594" spans="2:8" ht="25.5">
      <c r="B594" s="358" t="s">
        <v>1467</v>
      </c>
      <c r="C594" s="360" t="s">
        <v>1468</v>
      </c>
      <c r="D594" s="361" t="s">
        <v>401</v>
      </c>
      <c r="E594" s="361" t="s">
        <v>112</v>
      </c>
      <c r="F594" s="362">
        <v>20.43968254</v>
      </c>
      <c r="G594" s="359">
        <f t="shared" ref="G594:G600" si="57">6.3*1.2173</f>
        <v>7.66899</v>
      </c>
      <c r="H594" s="363">
        <f t="shared" ref="H594:H609" si="58">F594*G594</f>
        <v>156.75172100243461</v>
      </c>
    </row>
    <row r="595" spans="2:8" ht="25.5">
      <c r="B595" s="358" t="s">
        <v>1469</v>
      </c>
      <c r="C595" s="360" t="s">
        <v>1470</v>
      </c>
      <c r="D595" s="361" t="s">
        <v>401</v>
      </c>
      <c r="E595" s="361" t="s">
        <v>112</v>
      </c>
      <c r="F595" s="362">
        <v>8.7507936510000004</v>
      </c>
      <c r="G595" s="359">
        <f t="shared" si="57"/>
        <v>7.66899</v>
      </c>
      <c r="H595" s="363">
        <f t="shared" si="58"/>
        <v>67.109749001582486</v>
      </c>
    </row>
    <row r="596" spans="2:8" ht="38.25">
      <c r="B596" s="358" t="s">
        <v>1471</v>
      </c>
      <c r="C596" s="360" t="s">
        <v>1472</v>
      </c>
      <c r="D596" s="361" t="s">
        <v>401</v>
      </c>
      <c r="E596" s="361" t="s">
        <v>112</v>
      </c>
      <c r="F596" s="362">
        <v>23.520634920999999</v>
      </c>
      <c r="G596" s="359">
        <f t="shared" si="57"/>
        <v>7.66899</v>
      </c>
      <c r="H596" s="363">
        <f t="shared" si="58"/>
        <v>180.37951400279979</v>
      </c>
    </row>
    <row r="597" spans="2:8" ht="38.25">
      <c r="B597" s="358" t="s">
        <v>1473</v>
      </c>
      <c r="C597" s="360" t="s">
        <v>1474</v>
      </c>
      <c r="D597" s="361" t="s">
        <v>401</v>
      </c>
      <c r="E597" s="361" t="s">
        <v>112</v>
      </c>
      <c r="F597" s="362">
        <v>2.7698412700000001</v>
      </c>
      <c r="G597" s="359">
        <f t="shared" si="57"/>
        <v>7.66899</v>
      </c>
      <c r="H597" s="363">
        <f t="shared" si="58"/>
        <v>21.241885001217302</v>
      </c>
    </row>
    <row r="598" spans="2:8" ht="38.25">
      <c r="B598" s="358" t="s">
        <v>1420</v>
      </c>
      <c r="C598" s="360" t="s">
        <v>1421</v>
      </c>
      <c r="D598" s="361" t="s">
        <v>401</v>
      </c>
      <c r="E598" s="361" t="s">
        <v>112</v>
      </c>
      <c r="F598" s="362">
        <v>2.2698412700000001</v>
      </c>
      <c r="G598" s="359">
        <f t="shared" si="57"/>
        <v>7.66899</v>
      </c>
      <c r="H598" s="363">
        <f t="shared" si="58"/>
        <v>17.407390001217301</v>
      </c>
    </row>
    <row r="599" spans="2:8" ht="38.25">
      <c r="B599" s="358" t="s">
        <v>1475</v>
      </c>
      <c r="C599" s="360" t="s">
        <v>1476</v>
      </c>
      <c r="D599" s="361" t="s">
        <v>401</v>
      </c>
      <c r="E599" s="361" t="s">
        <v>112</v>
      </c>
      <c r="F599" s="362">
        <v>11.520634920999999</v>
      </c>
      <c r="G599" s="359">
        <f t="shared" si="57"/>
        <v>7.66899</v>
      </c>
      <c r="H599" s="363">
        <f t="shared" si="58"/>
        <v>88.351634002799784</v>
      </c>
    </row>
    <row r="600" spans="2:8" ht="38.25">
      <c r="B600" s="358" t="s">
        <v>1477</v>
      </c>
      <c r="C600" s="360" t="s">
        <v>1478</v>
      </c>
      <c r="D600" s="361" t="s">
        <v>401</v>
      </c>
      <c r="E600" s="361" t="s">
        <v>112</v>
      </c>
      <c r="F600" s="362">
        <v>19.930158729999999</v>
      </c>
      <c r="G600" s="359">
        <f t="shared" si="57"/>
        <v>7.66899</v>
      </c>
      <c r="H600" s="363">
        <f t="shared" si="58"/>
        <v>152.8441879987827</v>
      </c>
    </row>
    <row r="601" spans="2:8" ht="25.5">
      <c r="B601" s="358">
        <v>11002</v>
      </c>
      <c r="C601" s="360" t="s">
        <v>1454</v>
      </c>
      <c r="D601" s="361" t="s">
        <v>401</v>
      </c>
      <c r="E601" s="361" t="s">
        <v>112</v>
      </c>
      <c r="F601" s="362">
        <v>0.2</v>
      </c>
      <c r="G601" s="359">
        <v>34.57</v>
      </c>
      <c r="H601" s="363">
        <f t="shared" si="58"/>
        <v>6.9140000000000006</v>
      </c>
    </row>
    <row r="602" spans="2:8" ht="38.25">
      <c r="B602" s="358">
        <v>11058</v>
      </c>
      <c r="C602" s="360" t="s">
        <v>1455</v>
      </c>
      <c r="D602" s="361" t="s">
        <v>401</v>
      </c>
      <c r="E602" s="361" t="s">
        <v>37</v>
      </c>
      <c r="F602" s="362">
        <v>6</v>
      </c>
      <c r="G602" s="359">
        <v>0.55000000000000004</v>
      </c>
      <c r="H602" s="363">
        <f t="shared" si="58"/>
        <v>3.3000000000000003</v>
      </c>
    </row>
    <row r="603" spans="2:8" ht="25.5">
      <c r="B603" s="358">
        <v>20259</v>
      </c>
      <c r="C603" s="360" t="s">
        <v>1457</v>
      </c>
      <c r="D603" s="361" t="s">
        <v>401</v>
      </c>
      <c r="E603" s="361" t="s">
        <v>15</v>
      </c>
      <c r="F603" s="362">
        <v>39.799999999999997</v>
      </c>
      <c r="G603" s="359">
        <v>15</v>
      </c>
      <c r="H603" s="363">
        <f t="shared" si="58"/>
        <v>597</v>
      </c>
    </row>
    <row r="604" spans="2:8" ht="63.75">
      <c r="B604" s="358">
        <v>38165</v>
      </c>
      <c r="C604" s="360" t="s">
        <v>1479</v>
      </c>
      <c r="D604" s="361" t="s">
        <v>401</v>
      </c>
      <c r="E604" s="361" t="s">
        <v>663</v>
      </c>
      <c r="F604" s="362">
        <v>1</v>
      </c>
      <c r="G604" s="359">
        <v>68.62</v>
      </c>
      <c r="H604" s="363">
        <f t="shared" si="58"/>
        <v>68.62</v>
      </c>
    </row>
    <row r="605" spans="2:8" ht="38.25">
      <c r="B605" s="358">
        <v>40552</v>
      </c>
      <c r="C605" s="360" t="s">
        <v>1459</v>
      </c>
      <c r="D605" s="361" t="s">
        <v>401</v>
      </c>
      <c r="E605" s="361" t="s">
        <v>1395</v>
      </c>
      <c r="F605" s="362">
        <v>0.15</v>
      </c>
      <c r="G605" s="359">
        <v>52.16</v>
      </c>
      <c r="H605" s="363">
        <f t="shared" si="58"/>
        <v>7.823999999999999</v>
      </c>
    </row>
    <row r="606" spans="2:8" ht="38.25">
      <c r="B606" s="358" t="s">
        <v>1460</v>
      </c>
      <c r="C606" s="360" t="s">
        <v>1461</v>
      </c>
      <c r="D606" s="361" t="s">
        <v>12</v>
      </c>
      <c r="E606" s="361" t="s">
        <v>24</v>
      </c>
      <c r="F606" s="362">
        <v>5.1602227919999999</v>
      </c>
      <c r="G606" s="359">
        <f>15.79*1.2173</f>
        <v>19.221167000000001</v>
      </c>
      <c r="H606" s="363">
        <f t="shared" si="58"/>
        <v>99.185504042238264</v>
      </c>
    </row>
    <row r="607" spans="2:8" ht="51">
      <c r="B607" s="358">
        <v>7568</v>
      </c>
      <c r="C607" s="360" t="s">
        <v>1462</v>
      </c>
      <c r="D607" s="361" t="s">
        <v>401</v>
      </c>
      <c r="E607" s="361" t="s">
        <v>37</v>
      </c>
      <c r="F607" s="362">
        <v>6</v>
      </c>
      <c r="G607" s="359">
        <v>1.1000000000000001</v>
      </c>
      <c r="H607" s="363">
        <f t="shared" si="58"/>
        <v>6.6000000000000005</v>
      </c>
    </row>
    <row r="608" spans="2:8" ht="25.5">
      <c r="B608" s="358" t="s">
        <v>1355</v>
      </c>
      <c r="C608" s="360" t="s">
        <v>1356</v>
      </c>
      <c r="D608" s="361" t="s">
        <v>12</v>
      </c>
      <c r="E608" s="361" t="s">
        <v>1128</v>
      </c>
      <c r="F608" s="362">
        <v>12.000811688000001</v>
      </c>
      <c r="G608" s="359">
        <v>20.5</v>
      </c>
      <c r="H608" s="363">
        <f t="shared" si="58"/>
        <v>246.01663960400001</v>
      </c>
    </row>
    <row r="609" spans="2:8" ht="25.5">
      <c r="B609" s="358" t="s">
        <v>1388</v>
      </c>
      <c r="C609" s="360" t="s">
        <v>1389</v>
      </c>
      <c r="D609" s="361" t="s">
        <v>12</v>
      </c>
      <c r="E609" s="361" t="s">
        <v>1128</v>
      </c>
      <c r="F609" s="362">
        <v>12.001461669999999</v>
      </c>
      <c r="G609" s="359">
        <v>26.05</v>
      </c>
      <c r="H609" s="363">
        <f t="shared" si="58"/>
        <v>312.63807650349997</v>
      </c>
    </row>
    <row r="610" spans="2:8">
      <c r="B610" s="699" t="s">
        <v>1231</v>
      </c>
      <c r="C610" s="700"/>
      <c r="D610" s="700"/>
      <c r="E610" s="700"/>
      <c r="F610" s="700"/>
      <c r="G610" s="701"/>
      <c r="H610" s="364">
        <f>SUM(H593:H609)</f>
        <v>2279.1257791605722</v>
      </c>
    </row>
    <row r="611" spans="2:8">
      <c r="B611" s="702"/>
      <c r="C611" s="703"/>
      <c r="D611" s="703"/>
      <c r="E611" s="703"/>
      <c r="F611" s="703"/>
      <c r="G611" s="703"/>
      <c r="H611" s="704"/>
    </row>
    <row r="612" spans="2:8" ht="25.5">
      <c r="B612" s="367" t="s">
        <v>1999</v>
      </c>
      <c r="C612" s="368" t="s">
        <v>379</v>
      </c>
      <c r="D612" s="369" t="s">
        <v>12</v>
      </c>
      <c r="E612" s="369" t="s">
        <v>24</v>
      </c>
      <c r="F612" s="370"/>
      <c r="G612" s="356"/>
      <c r="H612" s="371"/>
    </row>
    <row r="613" spans="2:8" ht="38.25">
      <c r="B613" s="358">
        <v>142</v>
      </c>
      <c r="C613" s="360" t="s">
        <v>1481</v>
      </c>
      <c r="D613" s="361" t="s">
        <v>401</v>
      </c>
      <c r="E613" s="361" t="s">
        <v>1482</v>
      </c>
      <c r="F613" s="362" t="s">
        <v>1483</v>
      </c>
      <c r="G613" s="359">
        <v>40.619999999999997</v>
      </c>
      <c r="H613" s="363">
        <f>F613*G613</f>
        <v>34.526999999999994</v>
      </c>
    </row>
    <row r="614" spans="2:8" ht="63.75">
      <c r="B614" s="358">
        <v>39022</v>
      </c>
      <c r="C614" s="360" t="s">
        <v>1484</v>
      </c>
      <c r="D614" s="361" t="s">
        <v>401</v>
      </c>
      <c r="E614" s="361" t="s">
        <v>37</v>
      </c>
      <c r="F614" s="362" t="s">
        <v>1232</v>
      </c>
      <c r="G614" s="359">
        <v>484.5</v>
      </c>
      <c r="H614" s="363">
        <f>F614*G614</f>
        <v>256.78500000000003</v>
      </c>
    </row>
    <row r="615" spans="2:8">
      <c r="B615" s="699" t="s">
        <v>1231</v>
      </c>
      <c r="C615" s="700"/>
      <c r="D615" s="700"/>
      <c r="E615" s="700"/>
      <c r="F615" s="700"/>
      <c r="G615" s="701"/>
      <c r="H615" s="364">
        <f>SUM(H613:H614)</f>
        <v>291.31200000000001</v>
      </c>
    </row>
    <row r="616" spans="2:8">
      <c r="B616" s="702"/>
      <c r="C616" s="703"/>
      <c r="D616" s="703"/>
      <c r="E616" s="703"/>
      <c r="F616" s="703"/>
      <c r="G616" s="703"/>
      <c r="H616" s="704"/>
    </row>
    <row r="617" spans="2:8" ht="25.5">
      <c r="B617" s="367" t="s">
        <v>2000</v>
      </c>
      <c r="C617" s="368" t="s">
        <v>380</v>
      </c>
      <c r="D617" s="369" t="s">
        <v>12</v>
      </c>
      <c r="E617" s="369" t="s">
        <v>24</v>
      </c>
      <c r="F617" s="370"/>
      <c r="G617" s="356"/>
      <c r="H617" s="371"/>
    </row>
    <row r="618" spans="2:8" ht="25.5">
      <c r="B618" s="358" t="s">
        <v>1467</v>
      </c>
      <c r="C618" s="360" t="s">
        <v>1468</v>
      </c>
      <c r="D618" s="361" t="s">
        <v>401</v>
      </c>
      <c r="E618" s="361" t="s">
        <v>112</v>
      </c>
      <c r="F618" s="362">
        <v>2.0095238100000001</v>
      </c>
      <c r="G618" s="359">
        <f>6.3*1.2173</f>
        <v>7.66899</v>
      </c>
      <c r="H618" s="363">
        <f>F618*G618</f>
        <v>15.4110180036519</v>
      </c>
    </row>
    <row r="619" spans="2:8" ht="25.5">
      <c r="B619" s="358" t="s">
        <v>1422</v>
      </c>
      <c r="C619" s="360" t="s">
        <v>1423</v>
      </c>
      <c r="D619" s="361" t="s">
        <v>401</v>
      </c>
      <c r="E619" s="361" t="s">
        <v>112</v>
      </c>
      <c r="F619" s="362">
        <v>11.879365078999999</v>
      </c>
      <c r="G619" s="359">
        <f>6.3*1.2173</f>
        <v>7.66899</v>
      </c>
      <c r="H619" s="363">
        <f t="shared" ref="H619:H623" si="59">F619*G619</f>
        <v>91.102731997200209</v>
      </c>
    </row>
    <row r="620" spans="2:8" ht="38.25">
      <c r="B620" s="358">
        <v>142</v>
      </c>
      <c r="C620" s="360" t="s">
        <v>1481</v>
      </c>
      <c r="D620" s="361" t="s">
        <v>401</v>
      </c>
      <c r="E620" s="361" t="s">
        <v>1482</v>
      </c>
      <c r="F620" s="362">
        <v>0.15</v>
      </c>
      <c r="G620" s="359">
        <v>40.619999999999997</v>
      </c>
      <c r="H620" s="363">
        <f t="shared" si="59"/>
        <v>6.0929999999999991</v>
      </c>
    </row>
    <row r="621" spans="2:8" ht="25.5">
      <c r="B621" s="358">
        <v>20259</v>
      </c>
      <c r="C621" s="360" t="s">
        <v>1457</v>
      </c>
      <c r="D621" s="361" t="s">
        <v>401</v>
      </c>
      <c r="E621" s="361" t="s">
        <v>15</v>
      </c>
      <c r="F621" s="362">
        <v>4</v>
      </c>
      <c r="G621" s="359">
        <v>15</v>
      </c>
      <c r="H621" s="363">
        <f t="shared" si="59"/>
        <v>60</v>
      </c>
    </row>
    <row r="622" spans="2:8" ht="25.5">
      <c r="B622" s="358" t="s">
        <v>1485</v>
      </c>
      <c r="C622" s="360" t="s">
        <v>1486</v>
      </c>
      <c r="D622" s="361" t="s">
        <v>12</v>
      </c>
      <c r="E622" s="361" t="s">
        <v>1128</v>
      </c>
      <c r="F622" s="362">
        <v>2.0008605849999999</v>
      </c>
      <c r="G622" s="359">
        <v>20.62</v>
      </c>
      <c r="H622" s="363">
        <f t="shared" si="59"/>
        <v>41.257745262699999</v>
      </c>
    </row>
    <row r="623" spans="2:8" ht="25.5">
      <c r="B623" s="358" t="s">
        <v>1388</v>
      </c>
      <c r="C623" s="360" t="s">
        <v>1389</v>
      </c>
      <c r="D623" s="361" t="s">
        <v>12</v>
      </c>
      <c r="E623" s="361" t="s">
        <v>1128</v>
      </c>
      <c r="F623" s="362">
        <v>2</v>
      </c>
      <c r="G623" s="359">
        <v>26.05</v>
      </c>
      <c r="H623" s="363">
        <f t="shared" si="59"/>
        <v>52.1</v>
      </c>
    </row>
    <row r="624" spans="2:8">
      <c r="B624" s="699" t="s">
        <v>1231</v>
      </c>
      <c r="C624" s="700"/>
      <c r="D624" s="700"/>
      <c r="E624" s="700"/>
      <c r="F624" s="700"/>
      <c r="G624" s="701"/>
      <c r="H624" s="364">
        <f>SUM(H618:H623)</f>
        <v>265.96449526355212</v>
      </c>
    </row>
    <row r="625" spans="2:8">
      <c r="B625" s="711"/>
      <c r="C625" s="712"/>
      <c r="D625" s="712"/>
      <c r="E625" s="712"/>
      <c r="F625" s="712"/>
      <c r="G625" s="712"/>
      <c r="H625" s="713"/>
    </row>
    <row r="626" spans="2:8" ht="25.5">
      <c r="B626" s="367" t="s">
        <v>2001</v>
      </c>
      <c r="C626" s="368" t="s">
        <v>382</v>
      </c>
      <c r="D626" s="369" t="s">
        <v>12</v>
      </c>
      <c r="E626" s="369" t="s">
        <v>24</v>
      </c>
      <c r="F626" s="370"/>
      <c r="G626" s="356"/>
      <c r="H626" s="371"/>
    </row>
    <row r="627" spans="2:8" ht="25.5">
      <c r="B627" s="358" t="s">
        <v>1487</v>
      </c>
      <c r="C627" s="360" t="s">
        <v>1488</v>
      </c>
      <c r="D627" s="361" t="s">
        <v>401</v>
      </c>
      <c r="E627" s="361" t="s">
        <v>112</v>
      </c>
      <c r="F627" s="362">
        <v>12.06031746</v>
      </c>
      <c r="G627" s="359">
        <f>6.3*1.2173</f>
        <v>7.66899</v>
      </c>
      <c r="H627" s="363">
        <f>F627*G627</f>
        <v>92.490453997565396</v>
      </c>
    </row>
    <row r="628" spans="2:8" ht="38.25">
      <c r="B628" s="358">
        <v>142</v>
      </c>
      <c r="C628" s="360" t="s">
        <v>1481</v>
      </c>
      <c r="D628" s="361" t="s">
        <v>401</v>
      </c>
      <c r="E628" s="361" t="s">
        <v>1482</v>
      </c>
      <c r="F628" s="362">
        <v>0.15</v>
      </c>
      <c r="G628" s="359">
        <v>40.619999999999997</v>
      </c>
      <c r="H628" s="363">
        <f t="shared" ref="H628:H630" si="60">F628*G628</f>
        <v>6.0929999999999991</v>
      </c>
    </row>
    <row r="629" spans="2:8" ht="25.5">
      <c r="B629" s="358" t="s">
        <v>1485</v>
      </c>
      <c r="C629" s="360" t="s">
        <v>1486</v>
      </c>
      <c r="D629" s="361" t="s">
        <v>12</v>
      </c>
      <c r="E629" s="361" t="s">
        <v>1128</v>
      </c>
      <c r="F629" s="362">
        <v>2.0008605849999999</v>
      </c>
      <c r="G629" s="359">
        <v>20.62</v>
      </c>
      <c r="H629" s="363">
        <f t="shared" si="60"/>
        <v>41.257745262699999</v>
      </c>
    </row>
    <row r="630" spans="2:8" ht="25.5">
      <c r="B630" s="358" t="s">
        <v>1388</v>
      </c>
      <c r="C630" s="360" t="s">
        <v>1389</v>
      </c>
      <c r="D630" s="361" t="s">
        <v>12</v>
      </c>
      <c r="E630" s="361" t="s">
        <v>1128</v>
      </c>
      <c r="F630" s="362">
        <v>2</v>
      </c>
      <c r="G630" s="359">
        <v>26.05</v>
      </c>
      <c r="H630" s="363">
        <f t="shared" si="60"/>
        <v>52.1</v>
      </c>
    </row>
    <row r="631" spans="2:8">
      <c r="B631" s="699" t="s">
        <v>1231</v>
      </c>
      <c r="C631" s="700"/>
      <c r="D631" s="700"/>
      <c r="E631" s="700"/>
      <c r="F631" s="700"/>
      <c r="G631" s="701"/>
      <c r="H631" s="364">
        <f>SUM(H627:H630)</f>
        <v>191.94119926026539</v>
      </c>
    </row>
    <row r="632" spans="2:8">
      <c r="B632" s="702"/>
      <c r="C632" s="703"/>
      <c r="D632" s="703"/>
      <c r="E632" s="703"/>
      <c r="F632" s="703"/>
      <c r="G632" s="703"/>
      <c r="H632" s="704"/>
    </row>
    <row r="633" spans="2:8" ht="38.25">
      <c r="B633" s="367" t="s">
        <v>2002</v>
      </c>
      <c r="C633" s="368" t="s">
        <v>386</v>
      </c>
      <c r="D633" s="369" t="s">
        <v>12</v>
      </c>
      <c r="E633" s="369" t="s">
        <v>15</v>
      </c>
      <c r="F633" s="370"/>
      <c r="G633" s="356"/>
      <c r="H633" s="371"/>
    </row>
    <row r="634" spans="2:8" ht="51">
      <c r="B634" s="358">
        <v>7697</v>
      </c>
      <c r="C634" s="360" t="s">
        <v>1492</v>
      </c>
      <c r="D634" s="361" t="s">
        <v>401</v>
      </c>
      <c r="E634" s="361" t="s">
        <v>15</v>
      </c>
      <c r="F634" s="362">
        <v>4</v>
      </c>
      <c r="G634" s="359">
        <v>62.36</v>
      </c>
      <c r="H634" s="363">
        <f>F634*G634</f>
        <v>249.44</v>
      </c>
    </row>
    <row r="635" spans="2:8" ht="25.5">
      <c r="B635" s="358" t="s">
        <v>1388</v>
      </c>
      <c r="C635" s="360" t="s">
        <v>1389</v>
      </c>
      <c r="D635" s="361" t="s">
        <v>12</v>
      </c>
      <c r="E635" s="361" t="s">
        <v>1128</v>
      </c>
      <c r="F635" s="362">
        <v>3.4002943339999998</v>
      </c>
      <c r="G635" s="359">
        <v>26.05</v>
      </c>
      <c r="H635" s="363">
        <f t="shared" ref="H635:H637" si="61">F635*G635</f>
        <v>88.577667400699994</v>
      </c>
    </row>
    <row r="636" spans="2:8" ht="25.5">
      <c r="B636" s="358" t="s">
        <v>1285</v>
      </c>
      <c r="C636" s="360" t="s">
        <v>1286</v>
      </c>
      <c r="D636" s="361" t="s">
        <v>12</v>
      </c>
      <c r="E636" s="361" t="s">
        <v>1128</v>
      </c>
      <c r="F636" s="362">
        <v>3.0985267030000001</v>
      </c>
      <c r="G636" s="359">
        <v>19.39</v>
      </c>
      <c r="H636" s="363">
        <f t="shared" si="61"/>
        <v>60.080432771170003</v>
      </c>
    </row>
    <row r="637" spans="2:8" ht="38.25">
      <c r="B637" s="358" t="s">
        <v>1406</v>
      </c>
      <c r="C637" s="360" t="s">
        <v>1407</v>
      </c>
      <c r="D637" s="361" t="s">
        <v>12</v>
      </c>
      <c r="E637" s="361" t="s">
        <v>75</v>
      </c>
      <c r="F637" s="362">
        <v>0.02</v>
      </c>
      <c r="G637" s="359">
        <v>656.94</v>
      </c>
      <c r="H637" s="363">
        <f t="shared" si="61"/>
        <v>13.138800000000002</v>
      </c>
    </row>
    <row r="638" spans="2:8">
      <c r="B638" s="699" t="s">
        <v>1231</v>
      </c>
      <c r="C638" s="700"/>
      <c r="D638" s="700"/>
      <c r="E638" s="700"/>
      <c r="F638" s="700"/>
      <c r="G638" s="701"/>
      <c r="H638" s="364">
        <f>SUM(H634:H637)</f>
        <v>411.23690017187005</v>
      </c>
    </row>
    <row r="639" spans="2:8">
      <c r="B639" s="702"/>
      <c r="C639" s="703"/>
      <c r="D639" s="703"/>
      <c r="E639" s="703"/>
      <c r="F639" s="703"/>
      <c r="G639" s="703"/>
      <c r="H639" s="704"/>
    </row>
    <row r="640" spans="2:8" ht="102">
      <c r="B640" s="367" t="s">
        <v>2003</v>
      </c>
      <c r="C640" s="368" t="s">
        <v>1828</v>
      </c>
      <c r="D640" s="369" t="s">
        <v>12</v>
      </c>
      <c r="E640" s="369" t="s">
        <v>24</v>
      </c>
      <c r="F640" s="370"/>
      <c r="G640" s="356"/>
      <c r="H640" s="371"/>
    </row>
    <row r="641" spans="2:8" ht="25.5">
      <c r="B641" s="358">
        <v>11002</v>
      </c>
      <c r="C641" s="360" t="s">
        <v>1454</v>
      </c>
      <c r="D641" s="361" t="s">
        <v>401</v>
      </c>
      <c r="E641" s="361" t="s">
        <v>112</v>
      </c>
      <c r="F641" s="362">
        <v>0.02</v>
      </c>
      <c r="G641" s="359">
        <v>34.57</v>
      </c>
      <c r="H641" s="363">
        <f>F641*G641</f>
        <v>0.69140000000000001</v>
      </c>
    </row>
    <row r="642" spans="2:8" ht="38.25">
      <c r="B642" s="358">
        <v>11964</v>
      </c>
      <c r="C642" s="360" t="s">
        <v>1456</v>
      </c>
      <c r="D642" s="361" t="s">
        <v>401</v>
      </c>
      <c r="E642" s="361" t="s">
        <v>37</v>
      </c>
      <c r="F642" s="362">
        <v>1.1000000000000001</v>
      </c>
      <c r="G642" s="359">
        <v>2.66</v>
      </c>
      <c r="H642" s="363">
        <f t="shared" ref="H642:H649" si="62">F642*G642</f>
        <v>2.9260000000000006</v>
      </c>
    </row>
    <row r="643" spans="2:8" ht="25.5">
      <c r="B643" s="358">
        <v>1332</v>
      </c>
      <c r="C643" s="360" t="s">
        <v>1493</v>
      </c>
      <c r="D643" s="361" t="s">
        <v>401</v>
      </c>
      <c r="E643" s="361" t="s">
        <v>112</v>
      </c>
      <c r="F643" s="362">
        <v>1.22</v>
      </c>
      <c r="G643" s="359">
        <v>12.81</v>
      </c>
      <c r="H643" s="363">
        <f t="shared" si="62"/>
        <v>15.6282</v>
      </c>
    </row>
    <row r="644" spans="2:8" ht="25.5">
      <c r="B644" s="358">
        <v>43130</v>
      </c>
      <c r="C644" s="360" t="s">
        <v>1830</v>
      </c>
      <c r="D644" s="361" t="s">
        <v>401</v>
      </c>
      <c r="E644" s="361" t="s">
        <v>112</v>
      </c>
      <c r="F644" s="362">
        <v>0.1</v>
      </c>
      <c r="G644" s="359">
        <v>22.62</v>
      </c>
      <c r="H644" s="363">
        <f t="shared" si="62"/>
        <v>2.262</v>
      </c>
    </row>
    <row r="645" spans="2:8" ht="25.5">
      <c r="B645" s="358" t="s">
        <v>2004</v>
      </c>
      <c r="C645" s="360" t="s">
        <v>2005</v>
      </c>
      <c r="D645" s="361" t="s">
        <v>401</v>
      </c>
      <c r="E645" s="361" t="s">
        <v>112</v>
      </c>
      <c r="F645" s="362">
        <v>0.08</v>
      </c>
      <c r="G645" s="359">
        <v>26.55</v>
      </c>
      <c r="H645" s="363">
        <f t="shared" si="62"/>
        <v>2.1240000000000001</v>
      </c>
    </row>
    <row r="646" spans="2:8" ht="51">
      <c r="B646" s="358">
        <v>21012</v>
      </c>
      <c r="C646" s="360" t="s">
        <v>1489</v>
      </c>
      <c r="D646" s="361" t="s">
        <v>401</v>
      </c>
      <c r="E646" s="361" t="s">
        <v>15</v>
      </c>
      <c r="F646" s="362">
        <v>3.11</v>
      </c>
      <c r="G646" s="359">
        <v>62.3</v>
      </c>
      <c r="H646" s="363">
        <f t="shared" si="62"/>
        <v>193.75299999999999</v>
      </c>
    </row>
    <row r="647" spans="2:8" ht="63.75">
      <c r="B647" s="358">
        <v>10935</v>
      </c>
      <c r="C647" s="360" t="s">
        <v>1814</v>
      </c>
      <c r="D647" s="361" t="s">
        <v>401</v>
      </c>
      <c r="E647" s="361" t="s">
        <v>24</v>
      </c>
      <c r="F647" s="362">
        <v>1.1000000000000001</v>
      </c>
      <c r="G647" s="359">
        <v>53.08</v>
      </c>
      <c r="H647" s="363">
        <f t="shared" si="62"/>
        <v>58.388000000000005</v>
      </c>
    </row>
    <row r="648" spans="2:8" ht="25.5">
      <c r="B648" s="358" t="s">
        <v>1485</v>
      </c>
      <c r="C648" s="360" t="s">
        <v>1486</v>
      </c>
      <c r="D648" s="361" t="s">
        <v>12</v>
      </c>
      <c r="E648" s="361" t="s">
        <v>1128</v>
      </c>
      <c r="F648" s="362">
        <v>2.6</v>
      </c>
      <c r="G648" s="359">
        <v>20.62</v>
      </c>
      <c r="H648" s="363">
        <f t="shared" si="62"/>
        <v>53.612000000000002</v>
      </c>
    </row>
    <row r="649" spans="2:8" ht="25.5">
      <c r="B649" s="358" t="s">
        <v>1388</v>
      </c>
      <c r="C649" s="360" t="s">
        <v>1389</v>
      </c>
      <c r="D649" s="361" t="s">
        <v>12</v>
      </c>
      <c r="E649" s="361" t="s">
        <v>1128</v>
      </c>
      <c r="F649" s="362">
        <v>1.6</v>
      </c>
      <c r="G649" s="359">
        <v>26.05</v>
      </c>
      <c r="H649" s="363">
        <f t="shared" si="62"/>
        <v>41.680000000000007</v>
      </c>
    </row>
    <row r="650" spans="2:8">
      <c r="B650" s="699" t="s">
        <v>1231</v>
      </c>
      <c r="C650" s="700"/>
      <c r="D650" s="700"/>
      <c r="E650" s="700"/>
      <c r="F650" s="700"/>
      <c r="G650" s="701"/>
      <c r="H650" s="364">
        <f>SUM(H641:H649)</f>
        <v>371.06460000000004</v>
      </c>
    </row>
    <row r="651" spans="2:8">
      <c r="B651" s="711"/>
      <c r="C651" s="712"/>
      <c r="D651" s="712"/>
      <c r="E651" s="712"/>
      <c r="F651" s="712"/>
      <c r="G651" s="712"/>
      <c r="H651" s="713"/>
    </row>
    <row r="652" spans="2:8" ht="89.25">
      <c r="B652" s="367" t="s">
        <v>2006</v>
      </c>
      <c r="C652" s="368" t="s">
        <v>1831</v>
      </c>
      <c r="D652" s="369" t="s">
        <v>12</v>
      </c>
      <c r="E652" s="369" t="s">
        <v>24</v>
      </c>
      <c r="F652" s="370"/>
      <c r="G652" s="356"/>
      <c r="H652" s="371"/>
    </row>
    <row r="653" spans="2:8" ht="63.75">
      <c r="B653" s="358">
        <v>10935</v>
      </c>
      <c r="C653" s="360" t="s">
        <v>1814</v>
      </c>
      <c r="D653" s="361" t="s">
        <v>401</v>
      </c>
      <c r="E653" s="361" t="s">
        <v>24</v>
      </c>
      <c r="F653" s="362">
        <v>1.1000000000000001</v>
      </c>
      <c r="G653" s="359">
        <v>53.08</v>
      </c>
      <c r="H653" s="363">
        <f>F653*G653</f>
        <v>58.388000000000005</v>
      </c>
    </row>
    <row r="654" spans="2:8" ht="25.5">
      <c r="B654" s="391" t="s">
        <v>2004</v>
      </c>
      <c r="C654" s="360" t="s">
        <v>1813</v>
      </c>
      <c r="D654" s="361" t="s">
        <v>401</v>
      </c>
      <c r="E654" s="361" t="s">
        <v>112</v>
      </c>
      <c r="F654" s="362">
        <v>3.2000000000000001E-2</v>
      </c>
      <c r="G654" s="359">
        <v>26.55</v>
      </c>
      <c r="H654" s="363">
        <f t="shared" ref="H654:H663" si="63">F654*G654</f>
        <v>0.84960000000000002</v>
      </c>
    </row>
    <row r="655" spans="2:8" ht="25.5">
      <c r="B655" s="358">
        <v>5075</v>
      </c>
      <c r="C655" s="360" t="s">
        <v>1815</v>
      </c>
      <c r="D655" s="361" t="s">
        <v>401</v>
      </c>
      <c r="E655" s="361" t="s">
        <v>112</v>
      </c>
      <c r="F655" s="362">
        <v>0.04</v>
      </c>
      <c r="G655" s="359">
        <v>22.69</v>
      </c>
      <c r="H655" s="363">
        <f t="shared" si="63"/>
        <v>0.90760000000000007</v>
      </c>
    </row>
    <row r="656" spans="2:8" ht="25.5">
      <c r="B656" s="358">
        <v>6188</v>
      </c>
      <c r="C656" s="360" t="s">
        <v>1816</v>
      </c>
      <c r="D656" s="361" t="s">
        <v>401</v>
      </c>
      <c r="E656" s="361" t="s">
        <v>24</v>
      </c>
      <c r="F656" s="362">
        <v>4.8000000000000001E-2</v>
      </c>
      <c r="G656" s="359">
        <f>23.33*1.2173</f>
        <v>28.399608999999998</v>
      </c>
      <c r="H656" s="363">
        <f t="shared" si="63"/>
        <v>1.3631812319999999</v>
      </c>
    </row>
    <row r="657" spans="2:8">
      <c r="B657" s="358">
        <v>6298</v>
      </c>
      <c r="C657" s="360" t="s">
        <v>1832</v>
      </c>
      <c r="D657" s="361" t="s">
        <v>401</v>
      </c>
      <c r="E657" s="361" t="s">
        <v>37</v>
      </c>
      <c r="F657" s="362">
        <v>0.4</v>
      </c>
      <c r="G657" s="359">
        <v>69.55</v>
      </c>
      <c r="H657" s="363">
        <f t="shared" si="63"/>
        <v>27.82</v>
      </c>
    </row>
    <row r="658" spans="2:8" ht="38.25">
      <c r="B658" s="358">
        <v>7696</v>
      </c>
      <c r="C658" s="360" t="s">
        <v>1811</v>
      </c>
      <c r="D658" s="361" t="s">
        <v>401</v>
      </c>
      <c r="E658" s="361" t="s">
        <v>15</v>
      </c>
      <c r="F658" s="362">
        <v>1.2</v>
      </c>
      <c r="G658" s="359">
        <v>89.93</v>
      </c>
      <c r="H658" s="363">
        <f t="shared" si="63"/>
        <v>107.91600000000001</v>
      </c>
    </row>
    <row r="659" spans="2:8" ht="25.5">
      <c r="B659" s="358" t="s">
        <v>1396</v>
      </c>
      <c r="C659" s="360" t="s">
        <v>1817</v>
      </c>
      <c r="D659" s="361" t="s">
        <v>12</v>
      </c>
      <c r="E659" s="361" t="s">
        <v>75</v>
      </c>
      <c r="F659" s="362">
        <v>1.7999999999999999E-2</v>
      </c>
      <c r="G659" s="359">
        <v>550.86</v>
      </c>
      <c r="H659" s="363">
        <f t="shared" si="63"/>
        <v>9.9154799999999987</v>
      </c>
    </row>
    <row r="660" spans="2:8" ht="25.5">
      <c r="B660" s="358" t="s">
        <v>1818</v>
      </c>
      <c r="C660" s="360" t="s">
        <v>1819</v>
      </c>
      <c r="D660" s="361" t="s">
        <v>12</v>
      </c>
      <c r="E660" s="361" t="s">
        <v>1128</v>
      </c>
      <c r="F660" s="362">
        <v>1</v>
      </c>
      <c r="G660" s="359">
        <v>24.86</v>
      </c>
      <c r="H660" s="363">
        <f t="shared" si="63"/>
        <v>24.86</v>
      </c>
    </row>
    <row r="661" spans="2:8" ht="25.5">
      <c r="B661" s="358" t="s">
        <v>1337</v>
      </c>
      <c r="C661" s="360" t="s">
        <v>1338</v>
      </c>
      <c r="D661" s="361" t="s">
        <v>12</v>
      </c>
      <c r="E661" s="361" t="s">
        <v>1128</v>
      </c>
      <c r="F661" s="362">
        <v>1</v>
      </c>
      <c r="G661" s="359">
        <v>26.2</v>
      </c>
      <c r="H661" s="363">
        <f t="shared" si="63"/>
        <v>26.2</v>
      </c>
    </row>
    <row r="662" spans="2:8" ht="25.5">
      <c r="B662" s="358" t="s">
        <v>1388</v>
      </c>
      <c r="C662" s="360" t="s">
        <v>1389</v>
      </c>
      <c r="D662" s="361" t="s">
        <v>12</v>
      </c>
      <c r="E662" s="361" t="s">
        <v>1128</v>
      </c>
      <c r="F662" s="362">
        <v>0.5</v>
      </c>
      <c r="G662" s="359">
        <v>26.05</v>
      </c>
      <c r="H662" s="363">
        <f t="shared" si="63"/>
        <v>13.025</v>
      </c>
    </row>
    <row r="663" spans="2:8" ht="25.5">
      <c r="B663" s="358" t="s">
        <v>1285</v>
      </c>
      <c r="C663" s="360" t="s">
        <v>1286</v>
      </c>
      <c r="D663" s="361" t="s">
        <v>12</v>
      </c>
      <c r="E663" s="361" t="s">
        <v>1128</v>
      </c>
      <c r="F663" s="362">
        <v>3.38</v>
      </c>
      <c r="G663" s="359">
        <v>19.39</v>
      </c>
      <c r="H663" s="363">
        <f t="shared" si="63"/>
        <v>65.538200000000003</v>
      </c>
    </row>
    <row r="664" spans="2:8">
      <c r="B664" s="699" t="s">
        <v>1231</v>
      </c>
      <c r="C664" s="700"/>
      <c r="D664" s="700"/>
      <c r="E664" s="700"/>
      <c r="F664" s="700"/>
      <c r="G664" s="701"/>
      <c r="H664" s="364">
        <f>SUM(H653:H663)</f>
        <v>336.78306123200002</v>
      </c>
    </row>
    <row r="665" spans="2:8">
      <c r="B665" s="702"/>
      <c r="C665" s="703"/>
      <c r="D665" s="703"/>
      <c r="E665" s="703"/>
      <c r="F665" s="703"/>
      <c r="G665" s="703"/>
      <c r="H665" s="704"/>
    </row>
    <row r="666" spans="2:8" ht="25.5">
      <c r="B666" s="392" t="s">
        <v>2007</v>
      </c>
      <c r="C666" s="393" t="s">
        <v>396</v>
      </c>
      <c r="D666" s="394" t="s">
        <v>12</v>
      </c>
      <c r="E666" s="394" t="s">
        <v>24</v>
      </c>
      <c r="F666" s="395"/>
      <c r="G666" s="396"/>
      <c r="H666" s="397"/>
    </row>
    <row r="667" spans="2:8" ht="25.5">
      <c r="B667" s="398" t="s">
        <v>395</v>
      </c>
      <c r="C667" s="399" t="s">
        <v>1494</v>
      </c>
      <c r="D667" s="400" t="s">
        <v>12</v>
      </c>
      <c r="E667" s="400" t="s">
        <v>37</v>
      </c>
      <c r="F667" s="401" t="s">
        <v>1495</v>
      </c>
      <c r="G667" s="402">
        <f>3290.92*1.2173</f>
        <v>4006.0369160000005</v>
      </c>
      <c r="H667" s="403">
        <f>F667*G667</f>
        <v>208.31391963200002</v>
      </c>
    </row>
    <row r="668" spans="2:8">
      <c r="B668" s="746" t="s">
        <v>1231</v>
      </c>
      <c r="C668" s="747"/>
      <c r="D668" s="747"/>
      <c r="E668" s="747"/>
      <c r="F668" s="747"/>
      <c r="G668" s="747"/>
      <c r="H668" s="404">
        <f>SUM(H667)</f>
        <v>208.31391963200002</v>
      </c>
    </row>
    <row r="669" spans="2:8">
      <c r="B669" s="702"/>
      <c r="C669" s="703"/>
      <c r="D669" s="703"/>
      <c r="E669" s="703"/>
      <c r="F669" s="703"/>
      <c r="G669" s="703"/>
      <c r="H669" s="704"/>
    </row>
    <row r="670" spans="2:8" ht="25.5">
      <c r="B670" s="367" t="s">
        <v>2008</v>
      </c>
      <c r="C670" s="368" t="s">
        <v>398</v>
      </c>
      <c r="D670" s="369" t="s">
        <v>12</v>
      </c>
      <c r="E670" s="369" t="s">
        <v>24</v>
      </c>
      <c r="F670" s="370"/>
      <c r="G670" s="356"/>
      <c r="H670" s="371"/>
    </row>
    <row r="671" spans="2:8" ht="25.5">
      <c r="B671" s="358" t="s">
        <v>1496</v>
      </c>
      <c r="C671" s="360" t="s">
        <v>1497</v>
      </c>
      <c r="D671" s="361" t="s">
        <v>12</v>
      </c>
      <c r="E671" s="361" t="s">
        <v>37</v>
      </c>
      <c r="F671" s="362" t="s">
        <v>1498</v>
      </c>
      <c r="G671" s="359">
        <f>2686.08*1.2173</f>
        <v>3269.7651839999999</v>
      </c>
      <c r="H671" s="363">
        <f>F671*G671</f>
        <v>235.42309324799999</v>
      </c>
    </row>
    <row r="672" spans="2:8">
      <c r="B672" s="699" t="s">
        <v>1231</v>
      </c>
      <c r="C672" s="700"/>
      <c r="D672" s="700"/>
      <c r="E672" s="700"/>
      <c r="F672" s="700"/>
      <c r="G672" s="701"/>
      <c r="H672" s="364">
        <f>SUM(H671)</f>
        <v>235.42309324799999</v>
      </c>
    </row>
    <row r="673" spans="2:8">
      <c r="B673" s="702"/>
      <c r="C673" s="703"/>
      <c r="D673" s="703"/>
      <c r="E673" s="703"/>
      <c r="F673" s="703"/>
      <c r="G673" s="703"/>
      <c r="H673" s="704"/>
    </row>
    <row r="674" spans="2:8" ht="51">
      <c r="B674" s="367" t="s">
        <v>2009</v>
      </c>
      <c r="C674" s="368" t="s">
        <v>400</v>
      </c>
      <c r="D674" s="369" t="s">
        <v>401</v>
      </c>
      <c r="E674" s="369" t="s">
        <v>24</v>
      </c>
      <c r="F674" s="370"/>
      <c r="G674" s="356"/>
      <c r="H674" s="371"/>
    </row>
    <row r="675" spans="2:8" ht="38.25">
      <c r="B675" s="405" t="s">
        <v>2010</v>
      </c>
      <c r="C675" s="406" t="s">
        <v>400</v>
      </c>
      <c r="D675" s="407" t="s">
        <v>12</v>
      </c>
      <c r="E675" s="361" t="s">
        <v>37</v>
      </c>
      <c r="F675" s="408">
        <v>1</v>
      </c>
      <c r="G675" s="409">
        <f>1464.15*1.2173</f>
        <v>1782.3097950000001</v>
      </c>
      <c r="H675" s="363">
        <f>F675*G675</f>
        <v>1782.3097950000001</v>
      </c>
    </row>
    <row r="676" spans="2:8" ht="15" customHeight="1">
      <c r="B676" s="699" t="s">
        <v>1231</v>
      </c>
      <c r="C676" s="700"/>
      <c r="D676" s="700"/>
      <c r="E676" s="700"/>
      <c r="F676" s="700"/>
      <c r="G676" s="701"/>
      <c r="H676" s="364">
        <f>SUM(H675)</f>
        <v>1782.3097950000001</v>
      </c>
    </row>
    <row r="677" spans="2:8">
      <c r="B677" s="702"/>
      <c r="C677" s="703"/>
      <c r="D677" s="703"/>
      <c r="E677" s="703"/>
      <c r="F677" s="703"/>
      <c r="G677" s="703"/>
      <c r="H677" s="704"/>
    </row>
    <row r="678" spans="2:8" ht="51">
      <c r="B678" s="367" t="s">
        <v>2011</v>
      </c>
      <c r="C678" s="368" t="s">
        <v>407</v>
      </c>
      <c r="D678" s="369" t="s">
        <v>12</v>
      </c>
      <c r="E678" s="369" t="s">
        <v>24</v>
      </c>
      <c r="F678" s="370"/>
      <c r="G678" s="356"/>
      <c r="H678" s="371"/>
    </row>
    <row r="679" spans="2:8">
      <c r="B679" s="358">
        <v>10498</v>
      </c>
      <c r="C679" s="360" t="s">
        <v>1499</v>
      </c>
      <c r="D679" s="361" t="s">
        <v>401</v>
      </c>
      <c r="E679" s="361" t="s">
        <v>112</v>
      </c>
      <c r="F679" s="362">
        <v>1.5</v>
      </c>
      <c r="G679" s="359">
        <v>6.05</v>
      </c>
      <c r="H679" s="363">
        <f>F679*G679</f>
        <v>9.0749999999999993</v>
      </c>
    </row>
    <row r="680" spans="2:8" ht="25.5">
      <c r="B680" s="358">
        <v>10505</v>
      </c>
      <c r="C680" s="360" t="s">
        <v>1500</v>
      </c>
      <c r="D680" s="361" t="s">
        <v>401</v>
      </c>
      <c r="E680" s="361" t="s">
        <v>24</v>
      </c>
      <c r="F680" s="362">
        <v>1</v>
      </c>
      <c r="G680" s="359">
        <v>141.84</v>
      </c>
      <c r="H680" s="363">
        <f t="shared" ref="H680:H682" si="64">F680*G680</f>
        <v>141.84</v>
      </c>
    </row>
    <row r="681" spans="2:8" ht="25.5">
      <c r="B681" s="358" t="s">
        <v>1285</v>
      </c>
      <c r="C681" s="360" t="s">
        <v>1286</v>
      </c>
      <c r="D681" s="361" t="s">
        <v>12</v>
      </c>
      <c r="E681" s="361" t="s">
        <v>1128</v>
      </c>
      <c r="F681" s="362">
        <v>0.5</v>
      </c>
      <c r="G681" s="359">
        <v>19.39</v>
      </c>
      <c r="H681" s="363">
        <f t="shared" si="64"/>
        <v>9.6950000000000003</v>
      </c>
    </row>
    <row r="682" spans="2:8" ht="25.5">
      <c r="B682" s="358" t="s">
        <v>1501</v>
      </c>
      <c r="C682" s="360" t="s">
        <v>1502</v>
      </c>
      <c r="D682" s="361" t="s">
        <v>12</v>
      </c>
      <c r="E682" s="361" t="s">
        <v>1128</v>
      </c>
      <c r="F682" s="362">
        <v>0.5</v>
      </c>
      <c r="G682" s="359">
        <v>24.17</v>
      </c>
      <c r="H682" s="363">
        <f t="shared" si="64"/>
        <v>12.085000000000001</v>
      </c>
    </row>
    <row r="683" spans="2:8">
      <c r="B683" s="699" t="s">
        <v>1231</v>
      </c>
      <c r="C683" s="700"/>
      <c r="D683" s="700"/>
      <c r="E683" s="700"/>
      <c r="F683" s="700"/>
      <c r="G683" s="701"/>
      <c r="H683" s="364">
        <f>SUM(H679:H682)</f>
        <v>172.69499999999999</v>
      </c>
    </row>
    <row r="684" spans="2:8">
      <c r="B684" s="702"/>
      <c r="C684" s="703"/>
      <c r="D684" s="703"/>
      <c r="E684" s="703"/>
      <c r="F684" s="703"/>
      <c r="G684" s="703"/>
      <c r="H684" s="704"/>
    </row>
    <row r="685" spans="2:8" ht="51">
      <c r="B685" s="367" t="s">
        <v>2012</v>
      </c>
      <c r="C685" s="368" t="s">
        <v>409</v>
      </c>
      <c r="D685" s="369" t="s">
        <v>12</v>
      </c>
      <c r="E685" s="369" t="s">
        <v>24</v>
      </c>
      <c r="F685" s="370"/>
      <c r="G685" s="356"/>
      <c r="H685" s="371"/>
    </row>
    <row r="686" spans="2:8">
      <c r="B686" s="358">
        <v>10498</v>
      </c>
      <c r="C686" s="360" t="s">
        <v>1499</v>
      </c>
      <c r="D686" s="361" t="s">
        <v>401</v>
      </c>
      <c r="E686" s="361" t="s">
        <v>112</v>
      </c>
      <c r="F686" s="362">
        <v>1.5</v>
      </c>
      <c r="G686" s="359">
        <v>6.05</v>
      </c>
      <c r="H686" s="363">
        <f>F686*G686</f>
        <v>9.0749999999999993</v>
      </c>
    </row>
    <row r="687" spans="2:8" ht="25.5">
      <c r="B687" s="358">
        <v>10506</v>
      </c>
      <c r="C687" s="360" t="s">
        <v>1503</v>
      </c>
      <c r="D687" s="361" t="s">
        <v>401</v>
      </c>
      <c r="E687" s="361" t="s">
        <v>24</v>
      </c>
      <c r="F687" s="362">
        <v>1</v>
      </c>
      <c r="G687" s="359">
        <v>185.16</v>
      </c>
      <c r="H687" s="363">
        <f t="shared" ref="H687:H689" si="65">F687*G687</f>
        <v>185.16</v>
      </c>
    </row>
    <row r="688" spans="2:8" ht="25.5">
      <c r="B688" s="358" t="s">
        <v>1285</v>
      </c>
      <c r="C688" s="360" t="s">
        <v>1286</v>
      </c>
      <c r="D688" s="361" t="s">
        <v>12</v>
      </c>
      <c r="E688" s="361" t="s">
        <v>1128</v>
      </c>
      <c r="F688" s="362">
        <v>0.5</v>
      </c>
      <c r="G688" s="359">
        <v>19.39</v>
      </c>
      <c r="H688" s="363">
        <f t="shared" si="65"/>
        <v>9.6950000000000003</v>
      </c>
    </row>
    <row r="689" spans="2:8" ht="25.5">
      <c r="B689" s="358" t="s">
        <v>1501</v>
      </c>
      <c r="C689" s="360" t="s">
        <v>1502</v>
      </c>
      <c r="D689" s="361" t="s">
        <v>12</v>
      </c>
      <c r="E689" s="361" t="s">
        <v>1128</v>
      </c>
      <c r="F689" s="362">
        <v>0.5</v>
      </c>
      <c r="G689" s="359">
        <v>24.17</v>
      </c>
      <c r="H689" s="363">
        <f t="shared" si="65"/>
        <v>12.085000000000001</v>
      </c>
    </row>
    <row r="690" spans="2:8">
      <c r="B690" s="699" t="s">
        <v>1231</v>
      </c>
      <c r="C690" s="700"/>
      <c r="D690" s="700"/>
      <c r="E690" s="700"/>
      <c r="F690" s="700"/>
      <c r="G690" s="701"/>
      <c r="H690" s="364">
        <f>SUM(H686:H689)</f>
        <v>216.01499999999999</v>
      </c>
    </row>
    <row r="691" spans="2:8">
      <c r="B691" s="702"/>
      <c r="C691" s="703"/>
      <c r="D691" s="703"/>
      <c r="E691" s="703"/>
      <c r="F691" s="703"/>
      <c r="G691" s="703"/>
      <c r="H691" s="704"/>
    </row>
    <row r="692" spans="2:8" ht="51">
      <c r="B692" s="367" t="s">
        <v>2013</v>
      </c>
      <c r="C692" s="368" t="s">
        <v>411</v>
      </c>
      <c r="D692" s="369" t="s">
        <v>12</v>
      </c>
      <c r="E692" s="369" t="s">
        <v>24</v>
      </c>
      <c r="F692" s="370"/>
      <c r="G692" s="356"/>
      <c r="H692" s="371"/>
    </row>
    <row r="693" spans="2:8">
      <c r="B693" s="358">
        <v>10498</v>
      </c>
      <c r="C693" s="360" t="s">
        <v>1499</v>
      </c>
      <c r="D693" s="361" t="s">
        <v>401</v>
      </c>
      <c r="E693" s="361" t="s">
        <v>112</v>
      </c>
      <c r="F693" s="362">
        <v>1.5</v>
      </c>
      <c r="G693" s="359">
        <v>6.05</v>
      </c>
      <c r="H693" s="363">
        <f>F693*G693</f>
        <v>9.0749999999999993</v>
      </c>
    </row>
    <row r="694" spans="2:8" ht="25.5">
      <c r="B694" s="358">
        <v>10507</v>
      </c>
      <c r="C694" s="360" t="s">
        <v>1504</v>
      </c>
      <c r="D694" s="361" t="s">
        <v>401</v>
      </c>
      <c r="E694" s="361" t="s">
        <v>24</v>
      </c>
      <c r="F694" s="362">
        <v>1</v>
      </c>
      <c r="G694" s="359">
        <v>240.38</v>
      </c>
      <c r="H694" s="363">
        <f t="shared" ref="H694:H696" si="66">F694*G694</f>
        <v>240.38</v>
      </c>
    </row>
    <row r="695" spans="2:8" ht="25.5">
      <c r="B695" s="358" t="s">
        <v>1285</v>
      </c>
      <c r="C695" s="360" t="s">
        <v>1286</v>
      </c>
      <c r="D695" s="361" t="s">
        <v>12</v>
      </c>
      <c r="E695" s="361" t="s">
        <v>1128</v>
      </c>
      <c r="F695" s="362">
        <v>0.5</v>
      </c>
      <c r="G695" s="359">
        <v>19.39</v>
      </c>
      <c r="H695" s="363">
        <f t="shared" si="66"/>
        <v>9.6950000000000003</v>
      </c>
    </row>
    <row r="696" spans="2:8" ht="25.5">
      <c r="B696" s="358" t="s">
        <v>1501</v>
      </c>
      <c r="C696" s="360" t="s">
        <v>1502</v>
      </c>
      <c r="D696" s="361" t="s">
        <v>12</v>
      </c>
      <c r="E696" s="361" t="s">
        <v>1128</v>
      </c>
      <c r="F696" s="362">
        <v>0.5</v>
      </c>
      <c r="G696" s="359">
        <v>24.17</v>
      </c>
      <c r="H696" s="363">
        <f t="shared" si="66"/>
        <v>12.085000000000001</v>
      </c>
    </row>
    <row r="697" spans="2:8">
      <c r="B697" s="699" t="s">
        <v>1231</v>
      </c>
      <c r="C697" s="700"/>
      <c r="D697" s="700"/>
      <c r="E697" s="700"/>
      <c r="F697" s="700"/>
      <c r="G697" s="701"/>
      <c r="H697" s="364">
        <f>SUM(H693:H696)</f>
        <v>271.23499999999996</v>
      </c>
    </row>
    <row r="698" spans="2:8">
      <c r="B698" s="702"/>
      <c r="C698" s="703"/>
      <c r="D698" s="703"/>
      <c r="E698" s="703"/>
      <c r="F698" s="703"/>
      <c r="G698" s="703"/>
      <c r="H698" s="704"/>
    </row>
    <row r="699" spans="2:8" ht="51">
      <c r="B699" s="367" t="s">
        <v>2014</v>
      </c>
      <c r="C699" s="368" t="s">
        <v>414</v>
      </c>
      <c r="D699" s="369" t="s">
        <v>12</v>
      </c>
      <c r="E699" s="369" t="s">
        <v>24</v>
      </c>
      <c r="F699" s="370"/>
      <c r="G699" s="356"/>
      <c r="H699" s="371"/>
    </row>
    <row r="700" spans="2:8">
      <c r="B700" s="358">
        <v>11186</v>
      </c>
      <c r="C700" s="360" t="s">
        <v>1505</v>
      </c>
      <c r="D700" s="361" t="s">
        <v>401</v>
      </c>
      <c r="E700" s="361" t="s">
        <v>24</v>
      </c>
      <c r="F700" s="362">
        <v>1</v>
      </c>
      <c r="G700" s="359">
        <v>272.62</v>
      </c>
      <c r="H700" s="363">
        <f>F700*G700</f>
        <v>272.62</v>
      </c>
    </row>
    <row r="701" spans="2:8" ht="38.25">
      <c r="B701" s="358">
        <v>1360</v>
      </c>
      <c r="C701" s="360" t="s">
        <v>1506</v>
      </c>
      <c r="D701" s="361" t="s">
        <v>401</v>
      </c>
      <c r="E701" s="361" t="s">
        <v>24</v>
      </c>
      <c r="F701" s="362">
        <v>1.0501600849999999</v>
      </c>
      <c r="G701" s="359">
        <v>61.32</v>
      </c>
      <c r="H701" s="363">
        <f t="shared" ref="H701:H705" si="67">F701*G701</f>
        <v>64.395816412199991</v>
      </c>
    </row>
    <row r="702" spans="2:8" ht="25.5">
      <c r="B702" s="358">
        <v>587</v>
      </c>
      <c r="C702" s="360" t="s">
        <v>1507</v>
      </c>
      <c r="D702" s="361" t="s">
        <v>401</v>
      </c>
      <c r="E702" s="361" t="s">
        <v>112</v>
      </c>
      <c r="F702" s="362">
        <v>1.54</v>
      </c>
      <c r="G702" s="359">
        <v>35.24</v>
      </c>
      <c r="H702" s="363">
        <f t="shared" si="67"/>
        <v>54.269600000000004</v>
      </c>
    </row>
    <row r="703" spans="2:8" ht="38.25">
      <c r="B703" s="358">
        <v>7334</v>
      </c>
      <c r="C703" s="360" t="s">
        <v>1508</v>
      </c>
      <c r="D703" s="361" t="s">
        <v>401</v>
      </c>
      <c r="E703" s="361" t="s">
        <v>1293</v>
      </c>
      <c r="F703" s="362">
        <v>0.18</v>
      </c>
      <c r="G703" s="359">
        <v>15.89</v>
      </c>
      <c r="H703" s="363">
        <f t="shared" si="67"/>
        <v>2.8601999999999999</v>
      </c>
    </row>
    <row r="704" spans="2:8" ht="25.5">
      <c r="B704" s="358" t="s">
        <v>1289</v>
      </c>
      <c r="C704" s="360" t="s">
        <v>1290</v>
      </c>
      <c r="D704" s="361" t="s">
        <v>12</v>
      </c>
      <c r="E704" s="361" t="s">
        <v>1128</v>
      </c>
      <c r="F704" s="362">
        <v>1.8001679260000001</v>
      </c>
      <c r="G704" s="359">
        <v>20.52</v>
      </c>
      <c r="H704" s="363">
        <f t="shared" si="67"/>
        <v>36.939445841519998</v>
      </c>
    </row>
    <row r="705" spans="2:8" ht="25.5">
      <c r="B705" s="358" t="s">
        <v>1501</v>
      </c>
      <c r="C705" s="360" t="s">
        <v>1502</v>
      </c>
      <c r="D705" s="361" t="s">
        <v>12</v>
      </c>
      <c r="E705" s="361" t="s">
        <v>1128</v>
      </c>
      <c r="F705" s="362">
        <v>1.8007751940000001</v>
      </c>
      <c r="G705" s="359">
        <v>24.17</v>
      </c>
      <c r="H705" s="363">
        <f t="shared" si="67"/>
        <v>43.524736438980007</v>
      </c>
    </row>
    <row r="706" spans="2:8">
      <c r="B706" s="699" t="s">
        <v>1231</v>
      </c>
      <c r="C706" s="700"/>
      <c r="D706" s="700"/>
      <c r="E706" s="700"/>
      <c r="F706" s="700"/>
      <c r="G706" s="701"/>
      <c r="H706" s="364">
        <f>SUM(H700:H705)</f>
        <v>474.60979869270011</v>
      </c>
    </row>
    <row r="707" spans="2:8">
      <c r="B707" s="702"/>
      <c r="C707" s="703"/>
      <c r="D707" s="703"/>
      <c r="E707" s="703"/>
      <c r="F707" s="703"/>
      <c r="G707" s="703"/>
      <c r="H707" s="704"/>
    </row>
    <row r="708" spans="2:8" ht="25.5">
      <c r="B708" s="367" t="s">
        <v>2015</v>
      </c>
      <c r="C708" s="368" t="s">
        <v>1835</v>
      </c>
      <c r="D708" s="369" t="s">
        <v>12</v>
      </c>
      <c r="E708" s="369" t="s">
        <v>24</v>
      </c>
      <c r="F708" s="370"/>
      <c r="G708" s="356"/>
      <c r="H708" s="371"/>
    </row>
    <row r="709" spans="2:8" ht="25.5">
      <c r="B709" s="358">
        <v>20259</v>
      </c>
      <c r="C709" s="360" t="s">
        <v>1457</v>
      </c>
      <c r="D709" s="361" t="s">
        <v>401</v>
      </c>
      <c r="E709" s="361" t="s">
        <v>15</v>
      </c>
      <c r="F709" s="362">
        <v>8</v>
      </c>
      <c r="G709" s="359">
        <v>15</v>
      </c>
      <c r="H709" s="363">
        <f>F709*G709</f>
        <v>120</v>
      </c>
    </row>
    <row r="710" spans="2:8">
      <c r="B710" s="358">
        <v>34360</v>
      </c>
      <c r="C710" s="360" t="s">
        <v>1687</v>
      </c>
      <c r="D710" s="361" t="s">
        <v>401</v>
      </c>
      <c r="E710" s="361" t="s">
        <v>112</v>
      </c>
      <c r="F710" s="362">
        <v>0.5</v>
      </c>
      <c r="G710" s="359">
        <v>41.11</v>
      </c>
      <c r="H710" s="363">
        <f t="shared" ref="H710:H711" si="68">F710*G710</f>
        <v>20.555</v>
      </c>
    </row>
    <row r="711" spans="2:8">
      <c r="B711" s="358">
        <v>11185</v>
      </c>
      <c r="C711" s="360" t="s">
        <v>1837</v>
      </c>
      <c r="D711" s="361" t="s">
        <v>12</v>
      </c>
      <c r="E711" s="361" t="s">
        <v>24</v>
      </c>
      <c r="F711" s="362">
        <v>1</v>
      </c>
      <c r="G711" s="359">
        <v>245.67</v>
      </c>
      <c r="H711" s="363">
        <f t="shared" si="68"/>
        <v>245.67</v>
      </c>
    </row>
    <row r="712" spans="2:8">
      <c r="B712" s="748" t="s">
        <v>1231</v>
      </c>
      <c r="C712" s="749"/>
      <c r="D712" s="749"/>
      <c r="E712" s="749"/>
      <c r="F712" s="749"/>
      <c r="G712" s="750"/>
      <c r="H712" s="410">
        <f>SUM(H709:H711)</f>
        <v>386.22500000000002</v>
      </c>
    </row>
    <row r="713" spans="2:8">
      <c r="B713" s="733"/>
      <c r="C713" s="734"/>
      <c r="D713" s="734"/>
      <c r="E713" s="734"/>
      <c r="F713" s="734"/>
      <c r="G713" s="734"/>
      <c r="H713" s="734"/>
    </row>
    <row r="714" spans="2:8" ht="51">
      <c r="B714" s="367" t="s">
        <v>2016</v>
      </c>
      <c r="C714" s="368" t="s">
        <v>425</v>
      </c>
      <c r="D714" s="369" t="s">
        <v>12</v>
      </c>
      <c r="E714" s="369" t="s">
        <v>24</v>
      </c>
      <c r="F714" s="370"/>
      <c r="G714" s="356"/>
      <c r="H714" s="371"/>
    </row>
    <row r="715" spans="2:8" ht="38.25">
      <c r="B715" s="358">
        <v>3671</v>
      </c>
      <c r="C715" s="360" t="s">
        <v>1510</v>
      </c>
      <c r="D715" s="361" t="s">
        <v>401</v>
      </c>
      <c r="E715" s="361" t="s">
        <v>15</v>
      </c>
      <c r="F715" s="362">
        <v>1</v>
      </c>
      <c r="G715" s="359">
        <v>1.5</v>
      </c>
      <c r="H715" s="363">
        <f>F715*G715</f>
        <v>1.5</v>
      </c>
    </row>
    <row r="716" spans="2:8" ht="51">
      <c r="B716" s="358">
        <v>4786</v>
      </c>
      <c r="C716" s="360" t="s">
        <v>1511</v>
      </c>
      <c r="D716" s="361" t="s">
        <v>401</v>
      </c>
      <c r="E716" s="361" t="s">
        <v>24</v>
      </c>
      <c r="F716" s="362">
        <v>1</v>
      </c>
      <c r="G716" s="359">
        <v>120</v>
      </c>
      <c r="H716" s="363">
        <f t="shared" ref="H716:H719" si="69">F716*G716</f>
        <v>120</v>
      </c>
    </row>
    <row r="717" spans="2:8" ht="51">
      <c r="B717" s="358" t="s">
        <v>1512</v>
      </c>
      <c r="C717" s="360" t="s">
        <v>1513</v>
      </c>
      <c r="D717" s="361" t="s">
        <v>12</v>
      </c>
      <c r="E717" s="361" t="s">
        <v>75</v>
      </c>
      <c r="F717" s="362">
        <v>0.02</v>
      </c>
      <c r="G717" s="359">
        <v>794.39</v>
      </c>
      <c r="H717" s="363">
        <f t="shared" si="69"/>
        <v>15.8878</v>
      </c>
    </row>
    <row r="718" spans="2:8" ht="25.5">
      <c r="B718" s="358" t="s">
        <v>1337</v>
      </c>
      <c r="C718" s="360" t="s">
        <v>1338</v>
      </c>
      <c r="D718" s="361" t="s">
        <v>12</v>
      </c>
      <c r="E718" s="361" t="s">
        <v>1128</v>
      </c>
      <c r="F718" s="362">
        <v>0.6</v>
      </c>
      <c r="G718" s="359">
        <v>26.2</v>
      </c>
      <c r="H718" s="363">
        <f t="shared" si="69"/>
        <v>15.719999999999999</v>
      </c>
    </row>
    <row r="719" spans="2:8" ht="25.5">
      <c r="B719" s="358" t="s">
        <v>1285</v>
      </c>
      <c r="C719" s="360" t="s">
        <v>1286</v>
      </c>
      <c r="D719" s="361" t="s">
        <v>12</v>
      </c>
      <c r="E719" s="361" t="s">
        <v>1128</v>
      </c>
      <c r="F719" s="362">
        <v>0.3</v>
      </c>
      <c r="G719" s="359">
        <v>19.39</v>
      </c>
      <c r="H719" s="363">
        <f t="shared" si="69"/>
        <v>5.8170000000000002</v>
      </c>
    </row>
    <row r="720" spans="2:8">
      <c r="B720" s="699" t="s">
        <v>1231</v>
      </c>
      <c r="C720" s="700"/>
      <c r="D720" s="700"/>
      <c r="E720" s="700"/>
      <c r="F720" s="700"/>
      <c r="G720" s="701"/>
      <c r="H720" s="364">
        <f>SUM(H715:H719)</f>
        <v>158.9248</v>
      </c>
    </row>
    <row r="721" spans="2:8">
      <c r="B721" s="702"/>
      <c r="C721" s="703"/>
      <c r="D721" s="703"/>
      <c r="E721" s="703"/>
      <c r="F721" s="703"/>
      <c r="G721" s="703"/>
      <c r="H721" s="704"/>
    </row>
    <row r="722" spans="2:8" ht="76.5">
      <c r="B722" s="367" t="s">
        <v>2017</v>
      </c>
      <c r="C722" s="368" t="s">
        <v>430</v>
      </c>
      <c r="D722" s="369" t="s">
        <v>12</v>
      </c>
      <c r="E722" s="369" t="s">
        <v>24</v>
      </c>
      <c r="F722" s="370"/>
      <c r="G722" s="356"/>
      <c r="H722" s="371"/>
    </row>
    <row r="723" spans="2:8" ht="25.5">
      <c r="B723" s="358" t="s">
        <v>1518</v>
      </c>
      <c r="C723" s="360" t="s">
        <v>1519</v>
      </c>
      <c r="D723" s="361" t="s">
        <v>401</v>
      </c>
      <c r="E723" s="361" t="s">
        <v>24</v>
      </c>
      <c r="F723" s="362">
        <v>1.100035984</v>
      </c>
      <c r="G723" s="359">
        <f>27.79*1.2173</f>
        <v>33.828766999999999</v>
      </c>
      <c r="H723" s="363">
        <f>F723*G723</f>
        <v>37.212860994351729</v>
      </c>
    </row>
    <row r="724" spans="2:8" ht="25.5">
      <c r="B724" s="358">
        <v>1381</v>
      </c>
      <c r="C724" s="360" t="s">
        <v>1520</v>
      </c>
      <c r="D724" s="361" t="s">
        <v>401</v>
      </c>
      <c r="E724" s="361" t="s">
        <v>112</v>
      </c>
      <c r="F724" s="362">
        <v>4.8499999999999996</v>
      </c>
      <c r="G724" s="359">
        <v>0.6</v>
      </c>
      <c r="H724" s="363">
        <f t="shared" ref="H724:H727" si="70">F724*G724</f>
        <v>2.9099999999999997</v>
      </c>
    </row>
    <row r="725" spans="2:8">
      <c r="B725" s="358">
        <v>34357</v>
      </c>
      <c r="C725" s="360" t="s">
        <v>1521</v>
      </c>
      <c r="D725" s="361" t="s">
        <v>401</v>
      </c>
      <c r="E725" s="361" t="s">
        <v>112</v>
      </c>
      <c r="F725" s="362">
        <v>0.8</v>
      </c>
      <c r="G725" s="359">
        <v>3.52</v>
      </c>
      <c r="H725" s="363">
        <f t="shared" si="70"/>
        <v>2.8160000000000003</v>
      </c>
    </row>
    <row r="726" spans="2:8" ht="25.5">
      <c r="B726" s="358" t="s">
        <v>1522</v>
      </c>
      <c r="C726" s="360" t="s">
        <v>1523</v>
      </c>
      <c r="D726" s="361" t="s">
        <v>12</v>
      </c>
      <c r="E726" s="361" t="s">
        <v>1128</v>
      </c>
      <c r="F726" s="362">
        <v>1.1998530489999999</v>
      </c>
      <c r="G726" s="359">
        <v>26.1</v>
      </c>
      <c r="H726" s="363">
        <f t="shared" si="70"/>
        <v>31.3161645789</v>
      </c>
    </row>
    <row r="727" spans="2:8" ht="25.5">
      <c r="B727" s="358" t="s">
        <v>1285</v>
      </c>
      <c r="C727" s="360" t="s">
        <v>1286</v>
      </c>
      <c r="D727" s="361" t="s">
        <v>12</v>
      </c>
      <c r="E727" s="361" t="s">
        <v>1128</v>
      </c>
      <c r="F727" s="362">
        <v>0.75</v>
      </c>
      <c r="G727" s="359">
        <v>19.39</v>
      </c>
      <c r="H727" s="363">
        <f t="shared" si="70"/>
        <v>14.5425</v>
      </c>
    </row>
    <row r="728" spans="2:8">
      <c r="B728" s="699" t="s">
        <v>1231</v>
      </c>
      <c r="C728" s="700"/>
      <c r="D728" s="700"/>
      <c r="E728" s="700"/>
      <c r="F728" s="700"/>
      <c r="G728" s="701"/>
      <c r="H728" s="364">
        <f>SUM(H723:H727)</f>
        <v>88.797525573251733</v>
      </c>
    </row>
    <row r="729" spans="2:8">
      <c r="B729" s="702"/>
      <c r="C729" s="703"/>
      <c r="D729" s="703"/>
      <c r="E729" s="703"/>
      <c r="F729" s="703"/>
      <c r="G729" s="703"/>
      <c r="H729" s="704"/>
    </row>
    <row r="730" spans="2:8" ht="38.25">
      <c r="B730" s="367" t="s">
        <v>2018</v>
      </c>
      <c r="C730" s="368" t="s">
        <v>451</v>
      </c>
      <c r="D730" s="369" t="s">
        <v>12</v>
      </c>
      <c r="E730" s="369" t="s">
        <v>24</v>
      </c>
      <c r="F730" s="370"/>
      <c r="G730" s="356"/>
      <c r="H730" s="371"/>
    </row>
    <row r="731" spans="2:8">
      <c r="B731" s="358">
        <v>100301</v>
      </c>
      <c r="C731" s="360" t="s">
        <v>1531</v>
      </c>
      <c r="D731" s="361" t="s">
        <v>1228</v>
      </c>
      <c r="E731" s="361" t="s">
        <v>1128</v>
      </c>
      <c r="F731" s="362">
        <v>0.1</v>
      </c>
      <c r="G731" s="359">
        <v>21.79</v>
      </c>
      <c r="H731" s="363">
        <f>F731*G731</f>
        <v>2.1789999999999998</v>
      </c>
    </row>
    <row r="732" spans="2:8">
      <c r="B732" s="358">
        <v>88310</v>
      </c>
      <c r="C732" s="360" t="s">
        <v>1532</v>
      </c>
      <c r="D732" s="361" t="s">
        <v>1228</v>
      </c>
      <c r="E732" s="361" t="s">
        <v>1128</v>
      </c>
      <c r="F732" s="362">
        <v>0.4</v>
      </c>
      <c r="G732" s="359">
        <v>27.25</v>
      </c>
      <c r="H732" s="363">
        <f t="shared" ref="H732:H733" si="71">F732*G732</f>
        <v>10.9</v>
      </c>
    </row>
    <row r="733" spans="2:8" ht="25.5">
      <c r="B733" s="358" t="s">
        <v>1533</v>
      </c>
      <c r="C733" s="360" t="s">
        <v>1534</v>
      </c>
      <c r="D733" s="361" t="s">
        <v>401</v>
      </c>
      <c r="E733" s="361" t="s">
        <v>1293</v>
      </c>
      <c r="F733" s="362">
        <v>0.33</v>
      </c>
      <c r="G733" s="359">
        <f>23.4*1.2173</f>
        <v>28.484819999999999</v>
      </c>
      <c r="H733" s="363">
        <f t="shared" si="71"/>
        <v>9.3999906000000006</v>
      </c>
    </row>
    <row r="734" spans="2:8">
      <c r="B734" s="699" t="s">
        <v>1231</v>
      </c>
      <c r="C734" s="700"/>
      <c r="D734" s="700"/>
      <c r="E734" s="700"/>
      <c r="F734" s="700"/>
      <c r="G734" s="701"/>
      <c r="H734" s="364">
        <f>SUM(H731:H733)</f>
        <v>22.478990600000003</v>
      </c>
    </row>
    <row r="735" spans="2:8">
      <c r="B735" s="702"/>
      <c r="C735" s="703"/>
      <c r="D735" s="703"/>
      <c r="E735" s="703"/>
      <c r="F735" s="703"/>
      <c r="G735" s="703"/>
      <c r="H735" s="704"/>
    </row>
    <row r="736" spans="2:8" ht="25.5">
      <c r="B736" s="367" t="s">
        <v>2019</v>
      </c>
      <c r="C736" s="368" t="s">
        <v>452</v>
      </c>
      <c r="D736" s="369" t="s">
        <v>12</v>
      </c>
      <c r="E736" s="369" t="s">
        <v>24</v>
      </c>
      <c r="F736" s="370"/>
      <c r="G736" s="356"/>
      <c r="H736" s="371"/>
    </row>
    <row r="737" spans="2:8" ht="25.5">
      <c r="B737" s="358">
        <v>3</v>
      </c>
      <c r="C737" s="360" t="s">
        <v>1535</v>
      </c>
      <c r="D737" s="361" t="s">
        <v>401</v>
      </c>
      <c r="E737" s="361" t="s">
        <v>1293</v>
      </c>
      <c r="F737" s="362">
        <v>0.05</v>
      </c>
      <c r="G737" s="359">
        <v>14.85</v>
      </c>
      <c r="H737" s="363">
        <f>F737*G737</f>
        <v>0.74250000000000005</v>
      </c>
    </row>
    <row r="738" spans="2:8" ht="38.25">
      <c r="B738" s="358">
        <v>7314</v>
      </c>
      <c r="C738" s="360" t="s">
        <v>1536</v>
      </c>
      <c r="D738" s="361" t="s">
        <v>401</v>
      </c>
      <c r="E738" s="361" t="s">
        <v>1293</v>
      </c>
      <c r="F738" s="362">
        <v>0.24299999999999999</v>
      </c>
      <c r="G738" s="359">
        <v>82.18</v>
      </c>
      <c r="H738" s="363">
        <f t="shared" ref="H738:H740" si="72">F738*G738</f>
        <v>19.969740000000002</v>
      </c>
    </row>
    <row r="739" spans="2:8" ht="25.5">
      <c r="B739" s="358" t="s">
        <v>1382</v>
      </c>
      <c r="C739" s="360" t="s">
        <v>1383</v>
      </c>
      <c r="D739" s="361" t="s">
        <v>12</v>
      </c>
      <c r="E739" s="361" t="s">
        <v>1128</v>
      </c>
      <c r="F739" s="362">
        <v>0.5</v>
      </c>
      <c r="G739" s="359">
        <v>27.25</v>
      </c>
      <c r="H739" s="363">
        <f t="shared" si="72"/>
        <v>13.625</v>
      </c>
    </row>
    <row r="740" spans="2:8" ht="25.5">
      <c r="B740" s="358" t="s">
        <v>1285</v>
      </c>
      <c r="C740" s="360" t="s">
        <v>1286</v>
      </c>
      <c r="D740" s="361" t="s">
        <v>12</v>
      </c>
      <c r="E740" s="361" t="s">
        <v>1128</v>
      </c>
      <c r="F740" s="362">
        <v>0.4</v>
      </c>
      <c r="G740" s="359">
        <v>19.39</v>
      </c>
      <c r="H740" s="363">
        <f t="shared" si="72"/>
        <v>7.7560000000000002</v>
      </c>
    </row>
    <row r="741" spans="2:8">
      <c r="B741" s="699" t="s">
        <v>1231</v>
      </c>
      <c r="C741" s="700"/>
      <c r="D741" s="700"/>
      <c r="E741" s="700"/>
      <c r="F741" s="700"/>
      <c r="G741" s="701"/>
      <c r="H741" s="364">
        <f>SUM(H737:H740)</f>
        <v>42.093240000000002</v>
      </c>
    </row>
    <row r="742" spans="2:8">
      <c r="B742" s="702"/>
      <c r="C742" s="703"/>
      <c r="D742" s="703"/>
      <c r="E742" s="703"/>
      <c r="F742" s="703"/>
      <c r="G742" s="703"/>
      <c r="H742" s="704"/>
    </row>
    <row r="743" spans="2:8" ht="51">
      <c r="B743" s="367" t="s">
        <v>2020</v>
      </c>
      <c r="C743" s="368" t="s">
        <v>1838</v>
      </c>
      <c r="D743" s="369" t="s">
        <v>12</v>
      </c>
      <c r="E743" s="369" t="s">
        <v>24</v>
      </c>
      <c r="F743" s="370"/>
      <c r="G743" s="356"/>
      <c r="H743" s="371"/>
    </row>
    <row r="744" spans="2:8" ht="25.5">
      <c r="B744" s="358">
        <v>3768</v>
      </c>
      <c r="C744" s="360" t="s">
        <v>1538</v>
      </c>
      <c r="D744" s="361" t="s">
        <v>401</v>
      </c>
      <c r="E744" s="361" t="s">
        <v>37</v>
      </c>
      <c r="F744" s="362" t="s">
        <v>1336</v>
      </c>
      <c r="G744" s="359">
        <v>4.24</v>
      </c>
      <c r="H744" s="363">
        <f>F744*G744</f>
        <v>1.272</v>
      </c>
    </row>
    <row r="745" spans="2:8" ht="25.5">
      <c r="B745" s="358">
        <v>5318</v>
      </c>
      <c r="C745" s="360" t="s">
        <v>1537</v>
      </c>
      <c r="D745" s="361" t="s">
        <v>401</v>
      </c>
      <c r="E745" s="361" t="s">
        <v>1293</v>
      </c>
      <c r="F745" s="362" t="s">
        <v>1340</v>
      </c>
      <c r="G745" s="359">
        <v>19.559999999999999</v>
      </c>
      <c r="H745" s="363">
        <f t="shared" ref="H745:H749" si="73">F745*G745</f>
        <v>0.58679999999999999</v>
      </c>
    </row>
    <row r="746" spans="2:8" ht="25.5">
      <c r="B746" s="358">
        <v>7292</v>
      </c>
      <c r="C746" s="360" t="s">
        <v>1539</v>
      </c>
      <c r="D746" s="361" t="s">
        <v>401</v>
      </c>
      <c r="E746" s="361" t="s">
        <v>1293</v>
      </c>
      <c r="F746" s="362" t="s">
        <v>1540</v>
      </c>
      <c r="G746" s="359">
        <v>37.479999999999997</v>
      </c>
      <c r="H746" s="363">
        <f t="shared" si="73"/>
        <v>5.3971199999999993</v>
      </c>
    </row>
    <row r="747" spans="2:8" ht="25.5">
      <c r="B747" s="358">
        <v>7307</v>
      </c>
      <c r="C747" s="360" t="s">
        <v>1541</v>
      </c>
      <c r="D747" s="361" t="s">
        <v>401</v>
      </c>
      <c r="E747" s="361" t="s">
        <v>1293</v>
      </c>
      <c r="F747" s="362" t="s">
        <v>1387</v>
      </c>
      <c r="G747" s="359">
        <v>40.43</v>
      </c>
      <c r="H747" s="363">
        <f t="shared" si="73"/>
        <v>4.8515999999999995</v>
      </c>
    </row>
    <row r="748" spans="2:8" ht="25.5">
      <c r="B748" s="358" t="s">
        <v>1382</v>
      </c>
      <c r="C748" s="360" t="s">
        <v>1383</v>
      </c>
      <c r="D748" s="361" t="s">
        <v>12</v>
      </c>
      <c r="E748" s="361" t="s">
        <v>1128</v>
      </c>
      <c r="F748" s="362" t="s">
        <v>1466</v>
      </c>
      <c r="G748" s="359">
        <v>27.25</v>
      </c>
      <c r="H748" s="363">
        <f t="shared" si="73"/>
        <v>21.8</v>
      </c>
    </row>
    <row r="749" spans="2:8" ht="25.5">
      <c r="B749" s="358" t="s">
        <v>1285</v>
      </c>
      <c r="C749" s="360" t="s">
        <v>1286</v>
      </c>
      <c r="D749" s="361" t="s">
        <v>12</v>
      </c>
      <c r="E749" s="361" t="s">
        <v>1128</v>
      </c>
      <c r="F749" s="362" t="s">
        <v>1466</v>
      </c>
      <c r="G749" s="359">
        <v>19.39</v>
      </c>
      <c r="H749" s="363">
        <f t="shared" si="73"/>
        <v>15.512</v>
      </c>
    </row>
    <row r="750" spans="2:8">
      <c r="B750" s="699" t="s">
        <v>1231</v>
      </c>
      <c r="C750" s="700"/>
      <c r="D750" s="700"/>
      <c r="E750" s="700"/>
      <c r="F750" s="700"/>
      <c r="G750" s="701"/>
      <c r="H750" s="364">
        <f>SUM(H744:H749)</f>
        <v>49.419519999999999</v>
      </c>
    </row>
    <row r="751" spans="2:8">
      <c r="B751" s="702"/>
      <c r="C751" s="703"/>
      <c r="D751" s="703"/>
      <c r="E751" s="703"/>
      <c r="F751" s="703"/>
      <c r="G751" s="703"/>
      <c r="H751" s="704"/>
    </row>
    <row r="752" spans="2:8" ht="25.5">
      <c r="B752" s="367" t="s">
        <v>2021</v>
      </c>
      <c r="C752" s="368" t="s">
        <v>469</v>
      </c>
      <c r="D752" s="369" t="s">
        <v>12</v>
      </c>
      <c r="E752" s="369" t="s">
        <v>24</v>
      </c>
      <c r="F752" s="370"/>
      <c r="G752" s="356"/>
      <c r="H752" s="371"/>
    </row>
    <row r="753" spans="2:8" ht="38.25">
      <c r="B753" s="358">
        <v>37586</v>
      </c>
      <c r="C753" s="360" t="s">
        <v>1542</v>
      </c>
      <c r="D753" s="361" t="s">
        <v>401</v>
      </c>
      <c r="E753" s="361" t="s">
        <v>1395</v>
      </c>
      <c r="F753" s="362">
        <v>2.4299999999999999E-2</v>
      </c>
      <c r="G753" s="359">
        <v>47.05</v>
      </c>
      <c r="H753" s="363">
        <f>F753*G753</f>
        <v>1.1433149999999999</v>
      </c>
    </row>
    <row r="754" spans="2:8" ht="38.25">
      <c r="B754" s="358">
        <v>39413</v>
      </c>
      <c r="C754" s="360" t="s">
        <v>1524</v>
      </c>
      <c r="D754" s="361" t="s">
        <v>401</v>
      </c>
      <c r="E754" s="361" t="s">
        <v>24</v>
      </c>
      <c r="F754" s="362">
        <v>1.05</v>
      </c>
      <c r="G754" s="359">
        <v>19.399999999999999</v>
      </c>
      <c r="H754" s="363">
        <f t="shared" ref="H754:H764" si="74">F754*G754</f>
        <v>20.37</v>
      </c>
    </row>
    <row r="755" spans="2:8" ht="51">
      <c r="B755" s="358">
        <v>39419</v>
      </c>
      <c r="C755" s="360" t="s">
        <v>1543</v>
      </c>
      <c r="D755" s="361" t="s">
        <v>401</v>
      </c>
      <c r="E755" s="361" t="s">
        <v>15</v>
      </c>
      <c r="F755" s="362">
        <v>0.76039999999999996</v>
      </c>
      <c r="G755" s="359">
        <v>8.26</v>
      </c>
      <c r="H755" s="363">
        <f t="shared" si="74"/>
        <v>6.2809039999999996</v>
      </c>
    </row>
    <row r="756" spans="2:8" ht="51">
      <c r="B756" s="358">
        <v>39422</v>
      </c>
      <c r="C756" s="360" t="s">
        <v>1544</v>
      </c>
      <c r="D756" s="361" t="s">
        <v>401</v>
      </c>
      <c r="E756" s="361" t="s">
        <v>15</v>
      </c>
      <c r="F756" s="362">
        <v>1.99122807</v>
      </c>
      <c r="G756" s="359">
        <v>9.3699999999999992</v>
      </c>
      <c r="H756" s="363">
        <f t="shared" si="74"/>
        <v>18.657807015899998</v>
      </c>
    </row>
    <row r="757" spans="2:8" ht="38.25">
      <c r="B757" s="358">
        <v>39431</v>
      </c>
      <c r="C757" s="360" t="s">
        <v>1545</v>
      </c>
      <c r="D757" s="361" t="s">
        <v>401</v>
      </c>
      <c r="E757" s="361" t="s">
        <v>15</v>
      </c>
      <c r="F757" s="362">
        <v>1.2608695649999999</v>
      </c>
      <c r="G757" s="359">
        <v>0.3</v>
      </c>
      <c r="H757" s="363">
        <f t="shared" si="74"/>
        <v>0.37826086949999999</v>
      </c>
    </row>
    <row r="758" spans="2:8" ht="38.25">
      <c r="B758" s="358">
        <v>39432</v>
      </c>
      <c r="C758" s="360" t="s">
        <v>1525</v>
      </c>
      <c r="D758" s="361" t="s">
        <v>401</v>
      </c>
      <c r="E758" s="361" t="s">
        <v>15</v>
      </c>
      <c r="F758" s="362">
        <v>0.35</v>
      </c>
      <c r="G758" s="359">
        <v>2.68</v>
      </c>
      <c r="H758" s="363">
        <f t="shared" si="74"/>
        <v>0.93799999999999994</v>
      </c>
    </row>
    <row r="759" spans="2:8" ht="63.75">
      <c r="B759" s="358">
        <v>39434</v>
      </c>
      <c r="C759" s="360" t="s">
        <v>1526</v>
      </c>
      <c r="D759" s="361" t="s">
        <v>401</v>
      </c>
      <c r="E759" s="361" t="s">
        <v>112</v>
      </c>
      <c r="F759" s="362">
        <v>0.52</v>
      </c>
      <c r="G759" s="359">
        <v>3.36</v>
      </c>
      <c r="H759" s="363">
        <f t="shared" si="74"/>
        <v>1.7472000000000001</v>
      </c>
    </row>
    <row r="760" spans="2:8" ht="51">
      <c r="B760" s="358">
        <v>39435</v>
      </c>
      <c r="C760" s="360" t="s">
        <v>1527</v>
      </c>
      <c r="D760" s="361" t="s">
        <v>401</v>
      </c>
      <c r="E760" s="361" t="s">
        <v>37</v>
      </c>
      <c r="F760" s="362">
        <v>10</v>
      </c>
      <c r="G760" s="359">
        <v>0.11</v>
      </c>
      <c r="H760" s="363">
        <f t="shared" si="74"/>
        <v>1.1000000000000001</v>
      </c>
    </row>
    <row r="761" spans="2:8" ht="39.75" customHeight="1">
      <c r="B761" s="358">
        <v>39443</v>
      </c>
      <c r="C761" s="360" t="s">
        <v>1530</v>
      </c>
      <c r="D761" s="361" t="s">
        <v>401</v>
      </c>
      <c r="E761" s="361" t="s">
        <v>37</v>
      </c>
      <c r="F761" s="362">
        <v>0.4</v>
      </c>
      <c r="G761" s="359">
        <v>0.27</v>
      </c>
      <c r="H761" s="363">
        <f t="shared" si="74"/>
        <v>0.10800000000000001</v>
      </c>
    </row>
    <row r="762" spans="2:8" ht="25.5">
      <c r="B762" s="358" t="s">
        <v>2838</v>
      </c>
      <c r="C762" s="93" t="s">
        <v>1546</v>
      </c>
      <c r="D762" s="94" t="s">
        <v>12</v>
      </c>
      <c r="E762" s="94" t="s">
        <v>24</v>
      </c>
      <c r="F762" s="90">
        <v>1</v>
      </c>
      <c r="G762" s="357">
        <v>28.14</v>
      </c>
      <c r="H762" s="124">
        <f t="shared" si="74"/>
        <v>28.14</v>
      </c>
    </row>
    <row r="763" spans="2:8" ht="25.5">
      <c r="B763" s="358" t="s">
        <v>1528</v>
      </c>
      <c r="C763" s="360" t="s">
        <v>1529</v>
      </c>
      <c r="D763" s="361" t="s">
        <v>12</v>
      </c>
      <c r="E763" s="361" t="s">
        <v>1128</v>
      </c>
      <c r="F763" s="362">
        <v>0.54490000000000005</v>
      </c>
      <c r="G763" s="359">
        <v>19.93</v>
      </c>
      <c r="H763" s="363">
        <f t="shared" si="74"/>
        <v>10.859857000000002</v>
      </c>
    </row>
    <row r="764" spans="2:8" ht="25.5">
      <c r="B764" s="358" t="s">
        <v>1285</v>
      </c>
      <c r="C764" s="360" t="s">
        <v>1286</v>
      </c>
      <c r="D764" s="361" t="s">
        <v>12</v>
      </c>
      <c r="E764" s="361" t="s">
        <v>1128</v>
      </c>
      <c r="F764" s="362">
        <v>0.13619999999999999</v>
      </c>
      <c r="G764" s="359">
        <v>19.39</v>
      </c>
      <c r="H764" s="363">
        <f t="shared" si="74"/>
        <v>2.6409179999999997</v>
      </c>
    </row>
    <row r="765" spans="2:8">
      <c r="B765" s="699" t="s">
        <v>1231</v>
      </c>
      <c r="C765" s="700"/>
      <c r="D765" s="700"/>
      <c r="E765" s="700"/>
      <c r="F765" s="700"/>
      <c r="G765" s="701"/>
      <c r="H765" s="364">
        <f>SUM(H753:H764)</f>
        <v>92.364261885399998</v>
      </c>
    </row>
    <row r="766" spans="2:8">
      <c r="B766" s="702"/>
      <c r="C766" s="703"/>
      <c r="D766" s="703"/>
      <c r="E766" s="703"/>
      <c r="F766" s="703"/>
      <c r="G766" s="703"/>
      <c r="H766" s="704"/>
    </row>
    <row r="767" spans="2:8" ht="25.5">
      <c r="B767" s="367" t="s">
        <v>2022</v>
      </c>
      <c r="C767" s="368" t="s">
        <v>473</v>
      </c>
      <c r="D767" s="369" t="s">
        <v>12</v>
      </c>
      <c r="E767" s="369" t="s">
        <v>24</v>
      </c>
      <c r="F767" s="370"/>
      <c r="G767" s="356"/>
      <c r="H767" s="371"/>
    </row>
    <row r="768" spans="2:8" ht="51">
      <c r="B768" s="358">
        <v>4012</v>
      </c>
      <c r="C768" s="360" t="s">
        <v>1547</v>
      </c>
      <c r="D768" s="361" t="s">
        <v>401</v>
      </c>
      <c r="E768" s="361" t="s">
        <v>24</v>
      </c>
      <c r="F768" s="269">
        <v>1.049856184</v>
      </c>
      <c r="G768" s="359">
        <v>14.67</v>
      </c>
      <c r="H768" s="363">
        <f>F768*G768</f>
        <v>15.40139021928</v>
      </c>
    </row>
    <row r="769" spans="2:8" ht="25.5">
      <c r="B769" s="358" t="s">
        <v>1285</v>
      </c>
      <c r="C769" s="360" t="s">
        <v>1286</v>
      </c>
      <c r="D769" s="361" t="s">
        <v>12</v>
      </c>
      <c r="E769" s="361" t="s">
        <v>1128</v>
      </c>
      <c r="F769" s="362">
        <v>0.02</v>
      </c>
      <c r="G769" s="359">
        <v>19.39</v>
      </c>
      <c r="H769" s="363">
        <f>F769*G769</f>
        <v>0.38780000000000003</v>
      </c>
    </row>
    <row r="770" spans="2:8">
      <c r="B770" s="699" t="s">
        <v>1231</v>
      </c>
      <c r="C770" s="700"/>
      <c r="D770" s="700"/>
      <c r="E770" s="700"/>
      <c r="F770" s="700"/>
      <c r="G770" s="701"/>
      <c r="H770" s="364">
        <f>SUM(H768:H769)</f>
        <v>15.78919021928</v>
      </c>
    </row>
    <row r="771" spans="2:8">
      <c r="B771" s="702"/>
      <c r="C771" s="703"/>
      <c r="D771" s="703"/>
      <c r="E771" s="703"/>
      <c r="F771" s="703"/>
      <c r="G771" s="703"/>
      <c r="H771" s="704"/>
    </row>
    <row r="772" spans="2:8" ht="38.25">
      <c r="B772" s="367" t="s">
        <v>2023</v>
      </c>
      <c r="C772" s="368" t="s">
        <v>475</v>
      </c>
      <c r="D772" s="369" t="s">
        <v>12</v>
      </c>
      <c r="E772" s="369" t="s">
        <v>24</v>
      </c>
      <c r="F772" s="370"/>
      <c r="G772" s="356"/>
      <c r="H772" s="371"/>
    </row>
    <row r="773" spans="2:8">
      <c r="B773" s="358">
        <v>88243</v>
      </c>
      <c r="C773" s="360" t="s">
        <v>1227</v>
      </c>
      <c r="D773" s="361" t="s">
        <v>1228</v>
      </c>
      <c r="E773" s="361" t="s">
        <v>1128</v>
      </c>
      <c r="F773" s="362" t="s">
        <v>1278</v>
      </c>
      <c r="G773" s="359">
        <v>20.5</v>
      </c>
      <c r="H773" s="363">
        <f>F773*G773</f>
        <v>2.0500000000000003</v>
      </c>
    </row>
    <row r="774" spans="2:8">
      <c r="B774" s="358">
        <v>88270</v>
      </c>
      <c r="C774" s="360" t="s">
        <v>2024</v>
      </c>
      <c r="D774" s="361" t="s">
        <v>1228</v>
      </c>
      <c r="E774" s="361" t="s">
        <v>1128</v>
      </c>
      <c r="F774" s="362" t="s">
        <v>1278</v>
      </c>
      <c r="G774" s="359">
        <v>26.2</v>
      </c>
      <c r="H774" s="363">
        <f t="shared" ref="H774:H775" si="75">F774*G774</f>
        <v>2.62</v>
      </c>
    </row>
    <row r="775" spans="2:8">
      <c r="B775" s="358" t="s">
        <v>1548</v>
      </c>
      <c r="C775" s="360" t="s">
        <v>1549</v>
      </c>
      <c r="D775" s="361" t="s">
        <v>401</v>
      </c>
      <c r="E775" s="361" t="s">
        <v>112</v>
      </c>
      <c r="F775" s="362" t="s">
        <v>1403</v>
      </c>
      <c r="G775" s="359">
        <f>15.7*1.2173</f>
        <v>19.111609999999999</v>
      </c>
      <c r="H775" s="363">
        <f t="shared" si="75"/>
        <v>13.378126999999999</v>
      </c>
    </row>
    <row r="776" spans="2:8">
      <c r="B776" s="699" t="s">
        <v>1231</v>
      </c>
      <c r="C776" s="700"/>
      <c r="D776" s="700"/>
      <c r="E776" s="700"/>
      <c r="F776" s="700"/>
      <c r="G776" s="701"/>
      <c r="H776" s="364">
        <f>SUM(H773:H775)</f>
        <v>18.048127000000001</v>
      </c>
    </row>
    <row r="777" spans="2:8">
      <c r="B777" s="702"/>
      <c r="C777" s="703"/>
      <c r="D777" s="703"/>
      <c r="E777" s="703"/>
      <c r="F777" s="703"/>
      <c r="G777" s="703"/>
      <c r="H777" s="704"/>
    </row>
    <row r="778" spans="2:8" ht="81.75" customHeight="1">
      <c r="B778" s="367" t="s">
        <v>2025</v>
      </c>
      <c r="C778" s="368" t="s">
        <v>1839</v>
      </c>
      <c r="D778" s="369" t="s">
        <v>12</v>
      </c>
      <c r="E778" s="369" t="s">
        <v>24</v>
      </c>
      <c r="F778" s="370"/>
      <c r="G778" s="356"/>
      <c r="H778" s="371"/>
    </row>
    <row r="779" spans="2:8" ht="15" customHeight="1">
      <c r="B779" s="358">
        <v>1379</v>
      </c>
      <c r="C779" s="360" t="s">
        <v>1514</v>
      </c>
      <c r="D779" s="361" t="s">
        <v>401</v>
      </c>
      <c r="E779" s="361" t="s">
        <v>112</v>
      </c>
      <c r="F779" s="362">
        <v>60.75</v>
      </c>
      <c r="G779" s="359">
        <v>0.66</v>
      </c>
      <c r="H779" s="363">
        <f>F779*G779</f>
        <v>40.094999999999999</v>
      </c>
    </row>
    <row r="780" spans="2:8" ht="15" customHeight="1">
      <c r="B780" s="358">
        <v>367</v>
      </c>
      <c r="C780" s="360" t="s">
        <v>1841</v>
      </c>
      <c r="D780" s="361" t="s">
        <v>401</v>
      </c>
      <c r="E780" s="361" t="s">
        <v>75</v>
      </c>
      <c r="F780" s="362">
        <v>8.1000000000000003E-2</v>
      </c>
      <c r="G780" s="359">
        <v>210.64</v>
      </c>
      <c r="H780" s="363">
        <f t="shared" ref="H780:H783" si="76">F780*G780</f>
        <v>17.06184</v>
      </c>
    </row>
    <row r="781" spans="2:8" ht="25.5">
      <c r="B781" s="358">
        <v>34549</v>
      </c>
      <c r="C781" s="360" t="s">
        <v>1842</v>
      </c>
      <c r="D781" s="361" t="s">
        <v>401</v>
      </c>
      <c r="E781" s="361" t="s">
        <v>75</v>
      </c>
      <c r="F781" s="362">
        <v>0.17549999999999999</v>
      </c>
      <c r="G781" s="359">
        <v>1460.67</v>
      </c>
      <c r="H781" s="363">
        <f t="shared" si="76"/>
        <v>256.34758499999998</v>
      </c>
    </row>
    <row r="782" spans="2:8" ht="25.5">
      <c r="B782" s="358" t="s">
        <v>1337</v>
      </c>
      <c r="C782" s="360" t="s">
        <v>1338</v>
      </c>
      <c r="D782" s="361" t="s">
        <v>12</v>
      </c>
      <c r="E782" s="361" t="s">
        <v>1128</v>
      </c>
      <c r="F782" s="362">
        <v>0.69</v>
      </c>
      <c r="G782" s="359">
        <v>26.2</v>
      </c>
      <c r="H782" s="363">
        <f t="shared" si="76"/>
        <v>18.077999999999999</v>
      </c>
    </row>
    <row r="783" spans="2:8" ht="25.5">
      <c r="B783" s="358" t="s">
        <v>1285</v>
      </c>
      <c r="C783" s="360" t="s">
        <v>1286</v>
      </c>
      <c r="D783" s="361" t="s">
        <v>12</v>
      </c>
      <c r="E783" s="361" t="s">
        <v>1128</v>
      </c>
      <c r="F783" s="362">
        <v>0.34499999999999997</v>
      </c>
      <c r="G783" s="359">
        <v>19.39</v>
      </c>
      <c r="H783" s="363">
        <f t="shared" si="76"/>
        <v>6.6895499999999997</v>
      </c>
    </row>
    <row r="784" spans="2:8">
      <c r="B784" s="699" t="s">
        <v>1231</v>
      </c>
      <c r="C784" s="700"/>
      <c r="D784" s="700"/>
      <c r="E784" s="700"/>
      <c r="F784" s="700"/>
      <c r="G784" s="701"/>
      <c r="H784" s="364">
        <f>SUM(H779:H783)</f>
        <v>338.27197499999994</v>
      </c>
    </row>
    <row r="785" spans="2:8">
      <c r="B785" s="702"/>
      <c r="C785" s="703"/>
      <c r="D785" s="703"/>
      <c r="E785" s="703"/>
      <c r="F785" s="703"/>
      <c r="G785" s="703"/>
      <c r="H785" s="704"/>
    </row>
    <row r="786" spans="2:8" ht="76.5">
      <c r="B786" s="367" t="s">
        <v>2026</v>
      </c>
      <c r="C786" s="368" t="s">
        <v>1840</v>
      </c>
      <c r="D786" s="369" t="s">
        <v>12</v>
      </c>
      <c r="E786" s="369" t="s">
        <v>24</v>
      </c>
      <c r="F786" s="370"/>
      <c r="G786" s="356"/>
      <c r="H786" s="371"/>
    </row>
    <row r="787" spans="2:8" ht="15" customHeight="1">
      <c r="B787" s="358">
        <v>1379</v>
      </c>
      <c r="C787" s="360" t="s">
        <v>1514</v>
      </c>
      <c r="D787" s="361" t="s">
        <v>401</v>
      </c>
      <c r="E787" s="361" t="s">
        <v>112</v>
      </c>
      <c r="F787" s="362">
        <v>33.75</v>
      </c>
      <c r="G787" s="359">
        <v>0.66</v>
      </c>
      <c r="H787" s="363">
        <f>F787*G787</f>
        <v>22.275000000000002</v>
      </c>
    </row>
    <row r="788" spans="2:8">
      <c r="B788" s="358">
        <v>367</v>
      </c>
      <c r="C788" s="360" t="s">
        <v>1841</v>
      </c>
      <c r="D788" s="361" t="s">
        <v>401</v>
      </c>
      <c r="E788" s="361" t="s">
        <v>75</v>
      </c>
      <c r="F788" s="362">
        <v>4.4999999999999998E-2</v>
      </c>
      <c r="G788" s="359">
        <v>210.64</v>
      </c>
      <c r="H788" s="363">
        <f t="shared" ref="H788:H791" si="77">F788*G788</f>
        <v>9.4787999999999997</v>
      </c>
    </row>
    <row r="789" spans="2:8" ht="25.5">
      <c r="B789" s="358">
        <v>34549</v>
      </c>
      <c r="C789" s="360" t="s">
        <v>1842</v>
      </c>
      <c r="D789" s="361" t="s">
        <v>401</v>
      </c>
      <c r="E789" s="361" t="s">
        <v>75</v>
      </c>
      <c r="F789" s="362">
        <v>9.7500000000000003E-2</v>
      </c>
      <c r="G789" s="359">
        <v>1460.67</v>
      </c>
      <c r="H789" s="363">
        <f t="shared" si="77"/>
        <v>142.41532500000002</v>
      </c>
    </row>
    <row r="790" spans="2:8" ht="25.5">
      <c r="B790" s="358" t="s">
        <v>1337</v>
      </c>
      <c r="C790" s="360" t="s">
        <v>1338</v>
      </c>
      <c r="D790" s="361" t="s">
        <v>12</v>
      </c>
      <c r="E790" s="361" t="s">
        <v>1128</v>
      </c>
      <c r="F790" s="362" t="s">
        <v>1550</v>
      </c>
      <c r="G790" s="359">
        <v>26.2</v>
      </c>
      <c r="H790" s="363">
        <f t="shared" si="77"/>
        <v>18.077999999999999</v>
      </c>
    </row>
    <row r="791" spans="2:8" ht="25.5">
      <c r="B791" s="358" t="s">
        <v>1285</v>
      </c>
      <c r="C791" s="360" t="s">
        <v>1286</v>
      </c>
      <c r="D791" s="361" t="s">
        <v>12</v>
      </c>
      <c r="E791" s="361" t="s">
        <v>1128</v>
      </c>
      <c r="F791" s="362" t="s">
        <v>1551</v>
      </c>
      <c r="G791" s="359">
        <v>19.39</v>
      </c>
      <c r="H791" s="363">
        <f t="shared" si="77"/>
        <v>6.6895499999999997</v>
      </c>
    </row>
    <row r="792" spans="2:8">
      <c r="B792" s="699" t="s">
        <v>1231</v>
      </c>
      <c r="C792" s="700"/>
      <c r="D792" s="700"/>
      <c r="E792" s="700"/>
      <c r="F792" s="700"/>
      <c r="G792" s="701"/>
      <c r="H792" s="364">
        <f>SUM(H787:H791)</f>
        <v>198.93667500000004</v>
      </c>
    </row>
    <row r="793" spans="2:8">
      <c r="B793" s="702"/>
      <c r="C793" s="703"/>
      <c r="D793" s="703"/>
      <c r="E793" s="703"/>
      <c r="F793" s="703"/>
      <c r="G793" s="703"/>
      <c r="H793" s="704"/>
    </row>
    <row r="794" spans="2:8" ht="63.75">
      <c r="B794" s="367" t="s">
        <v>2027</v>
      </c>
      <c r="C794" s="368" t="s">
        <v>478</v>
      </c>
      <c r="D794" s="369" t="s">
        <v>12</v>
      </c>
      <c r="E794" s="369" t="s">
        <v>24</v>
      </c>
      <c r="F794" s="370"/>
      <c r="G794" s="356"/>
      <c r="H794" s="371"/>
    </row>
    <row r="795" spans="2:8" ht="15" customHeight="1">
      <c r="B795" s="358">
        <v>1379</v>
      </c>
      <c r="C795" s="360" t="s">
        <v>1514</v>
      </c>
      <c r="D795" s="361" t="s">
        <v>401</v>
      </c>
      <c r="E795" s="361" t="s">
        <v>112</v>
      </c>
      <c r="F795" s="362" t="s">
        <v>1279</v>
      </c>
      <c r="G795" s="359">
        <v>0.66</v>
      </c>
      <c r="H795" s="363">
        <f>F795*G795</f>
        <v>0.33</v>
      </c>
    </row>
    <row r="796" spans="2:8" ht="51">
      <c r="B796" s="358" t="s">
        <v>1515</v>
      </c>
      <c r="C796" s="360" t="s">
        <v>1516</v>
      </c>
      <c r="D796" s="361" t="s">
        <v>12</v>
      </c>
      <c r="E796" s="361" t="s">
        <v>75</v>
      </c>
      <c r="F796" s="362" t="s">
        <v>1372</v>
      </c>
      <c r="G796" s="359">
        <v>684.06</v>
      </c>
      <c r="H796" s="363">
        <f t="shared" ref="H796:H798" si="78">F796*G796</f>
        <v>23.9421</v>
      </c>
    </row>
    <row r="797" spans="2:8" ht="25.5">
      <c r="B797" s="358" t="s">
        <v>1337</v>
      </c>
      <c r="C797" s="360" t="s">
        <v>1338</v>
      </c>
      <c r="D797" s="361" t="s">
        <v>12</v>
      </c>
      <c r="E797" s="361" t="s">
        <v>1128</v>
      </c>
      <c r="F797" s="362" t="s">
        <v>1550</v>
      </c>
      <c r="G797" s="359">
        <v>26.2</v>
      </c>
      <c r="H797" s="363">
        <f t="shared" si="78"/>
        <v>18.077999999999999</v>
      </c>
    </row>
    <row r="798" spans="2:8" ht="25.5">
      <c r="B798" s="358" t="s">
        <v>1285</v>
      </c>
      <c r="C798" s="360" t="s">
        <v>1286</v>
      </c>
      <c r="D798" s="361" t="s">
        <v>12</v>
      </c>
      <c r="E798" s="361" t="s">
        <v>1128</v>
      </c>
      <c r="F798" s="362" t="s">
        <v>1551</v>
      </c>
      <c r="G798" s="359">
        <v>19.39</v>
      </c>
      <c r="H798" s="363">
        <f t="shared" si="78"/>
        <v>6.6895499999999997</v>
      </c>
    </row>
    <row r="799" spans="2:8">
      <c r="B799" s="699" t="s">
        <v>1231</v>
      </c>
      <c r="C799" s="700"/>
      <c r="D799" s="700"/>
      <c r="E799" s="700"/>
      <c r="F799" s="700"/>
      <c r="G799" s="701"/>
      <c r="H799" s="364">
        <f>SUM(H795:H798)</f>
        <v>49.039649999999995</v>
      </c>
    </row>
    <row r="800" spans="2:8">
      <c r="B800" s="711"/>
      <c r="C800" s="712"/>
      <c r="D800" s="712"/>
      <c r="E800" s="712"/>
      <c r="F800" s="712"/>
      <c r="G800" s="712"/>
      <c r="H800" s="713"/>
    </row>
    <row r="801" spans="2:8" ht="51">
      <c r="B801" s="367" t="s">
        <v>2028</v>
      </c>
      <c r="C801" s="368" t="s">
        <v>480</v>
      </c>
      <c r="D801" s="369" t="s">
        <v>12</v>
      </c>
      <c r="E801" s="369" t="s">
        <v>24</v>
      </c>
      <c r="F801" s="370"/>
      <c r="G801" s="356"/>
      <c r="H801" s="371"/>
    </row>
    <row r="802" spans="2:8">
      <c r="B802" s="358">
        <v>370</v>
      </c>
      <c r="C802" s="360" t="s">
        <v>1552</v>
      </c>
      <c r="D802" s="361" t="s">
        <v>401</v>
      </c>
      <c r="E802" s="361" t="s">
        <v>75</v>
      </c>
      <c r="F802" s="362">
        <v>2.3E-2</v>
      </c>
      <c r="G802" s="359">
        <v>207.93</v>
      </c>
      <c r="H802" s="363">
        <f>F802*G802</f>
        <v>4.7823900000000004</v>
      </c>
    </row>
    <row r="803" spans="2:8" ht="38.25">
      <c r="B803" s="358">
        <v>98546</v>
      </c>
      <c r="C803" s="360" t="s">
        <v>2029</v>
      </c>
      <c r="D803" s="361" t="s">
        <v>1553</v>
      </c>
      <c r="E803" s="361" t="s">
        <v>1128</v>
      </c>
      <c r="F803" s="362">
        <v>1</v>
      </c>
      <c r="G803" s="359">
        <v>99.72</v>
      </c>
      <c r="H803" s="363">
        <f t="shared" ref="H803:H806" si="79">F803*G803</f>
        <v>99.72</v>
      </c>
    </row>
    <row r="804" spans="2:8">
      <c r="B804" s="358">
        <v>1379</v>
      </c>
      <c r="C804" s="360" t="s">
        <v>2030</v>
      </c>
      <c r="D804" s="361" t="s">
        <v>401</v>
      </c>
      <c r="E804" s="361" t="s">
        <v>112</v>
      </c>
      <c r="F804" s="362">
        <v>9.4565217389999994</v>
      </c>
      <c r="G804" s="359">
        <v>0.66</v>
      </c>
      <c r="H804" s="363">
        <f t="shared" si="79"/>
        <v>6.2413043477399999</v>
      </c>
    </row>
    <row r="805" spans="2:8">
      <c r="B805" s="358">
        <v>38366</v>
      </c>
      <c r="C805" s="360" t="s">
        <v>2031</v>
      </c>
      <c r="D805" s="361" t="s">
        <v>401</v>
      </c>
      <c r="E805" s="361" t="s">
        <v>24</v>
      </c>
      <c r="F805" s="362">
        <v>1.1000000000000001</v>
      </c>
      <c r="G805" s="359">
        <v>5.31</v>
      </c>
      <c r="H805" s="363">
        <f t="shared" si="79"/>
        <v>5.8410000000000002</v>
      </c>
    </row>
    <row r="806" spans="2:8" ht="25.5">
      <c r="B806" s="358" t="s">
        <v>1554</v>
      </c>
      <c r="C806" s="360" t="s">
        <v>1555</v>
      </c>
      <c r="D806" s="361" t="s">
        <v>401</v>
      </c>
      <c r="E806" s="361" t="s">
        <v>24</v>
      </c>
      <c r="F806" s="362">
        <v>1.1500757960000001</v>
      </c>
      <c r="G806" s="359">
        <f>19.79*1.2173</f>
        <v>24.090367000000001</v>
      </c>
      <c r="H806" s="363">
        <f t="shared" si="79"/>
        <v>27.705748003457135</v>
      </c>
    </row>
    <row r="807" spans="2:8">
      <c r="B807" s="699" t="s">
        <v>1231</v>
      </c>
      <c r="C807" s="700"/>
      <c r="D807" s="700"/>
      <c r="E807" s="700"/>
      <c r="F807" s="700"/>
      <c r="G807" s="701"/>
      <c r="H807" s="364">
        <f>SUM(H802:H806)</f>
        <v>144.29044235119713</v>
      </c>
    </row>
    <row r="808" spans="2:8">
      <c r="B808" s="711"/>
      <c r="C808" s="712"/>
      <c r="D808" s="712"/>
      <c r="E808" s="712"/>
      <c r="F808" s="712"/>
      <c r="G808" s="712"/>
      <c r="H808" s="713"/>
    </row>
    <row r="809" spans="2:8" ht="25.5">
      <c r="B809" s="367" t="s">
        <v>2032</v>
      </c>
      <c r="C809" s="368" t="s">
        <v>500</v>
      </c>
      <c r="D809" s="369" t="s">
        <v>12</v>
      </c>
      <c r="E809" s="369" t="s">
        <v>15</v>
      </c>
      <c r="F809" s="370"/>
      <c r="G809" s="356"/>
      <c r="H809" s="371"/>
    </row>
    <row r="810" spans="2:8" ht="15" customHeight="1">
      <c r="B810" s="358">
        <v>1379</v>
      </c>
      <c r="C810" s="360" t="s">
        <v>1514</v>
      </c>
      <c r="D810" s="361" t="s">
        <v>401</v>
      </c>
      <c r="E810" s="361" t="s">
        <v>112</v>
      </c>
      <c r="F810" s="362">
        <v>4.2093023260000004</v>
      </c>
      <c r="G810" s="359">
        <v>0.66</v>
      </c>
      <c r="H810" s="363">
        <f>F810*G810</f>
        <v>2.7781395351600002</v>
      </c>
    </row>
    <row r="811" spans="2:8" ht="38.25">
      <c r="B811" s="358">
        <v>370</v>
      </c>
      <c r="C811" s="360" t="s">
        <v>1557</v>
      </c>
      <c r="D811" s="361" t="s">
        <v>401</v>
      </c>
      <c r="E811" s="361" t="s">
        <v>75</v>
      </c>
      <c r="F811" s="362" t="s">
        <v>1240</v>
      </c>
      <c r="G811" s="359">
        <v>207.93</v>
      </c>
      <c r="H811" s="363">
        <f t="shared" ref="H811:H814" si="80">F811*G811</f>
        <v>2.0792999999999999</v>
      </c>
    </row>
    <row r="812" spans="2:8" ht="51">
      <c r="B812" s="358">
        <v>4824</v>
      </c>
      <c r="C812" s="360" t="s">
        <v>1558</v>
      </c>
      <c r="D812" s="361" t="s">
        <v>401</v>
      </c>
      <c r="E812" s="361" t="s">
        <v>112</v>
      </c>
      <c r="F812" s="362">
        <v>3.1851851849999999</v>
      </c>
      <c r="G812" s="359">
        <v>0.47</v>
      </c>
      <c r="H812" s="363">
        <f t="shared" si="80"/>
        <v>1.4970370369499999</v>
      </c>
    </row>
    <row r="813" spans="2:8" ht="25.5">
      <c r="B813" s="358" t="s">
        <v>1337</v>
      </c>
      <c r="C813" s="360" t="s">
        <v>1338</v>
      </c>
      <c r="D813" s="361" t="s">
        <v>12</v>
      </c>
      <c r="E813" s="361" t="s">
        <v>1128</v>
      </c>
      <c r="F813" s="362" t="s">
        <v>1559</v>
      </c>
      <c r="G813" s="359">
        <v>26.2</v>
      </c>
      <c r="H813" s="363">
        <f t="shared" si="80"/>
        <v>14.148</v>
      </c>
    </row>
    <row r="814" spans="2:8" ht="25.5">
      <c r="B814" s="358" t="s">
        <v>1285</v>
      </c>
      <c r="C814" s="360" t="s">
        <v>1286</v>
      </c>
      <c r="D814" s="361" t="s">
        <v>12</v>
      </c>
      <c r="E814" s="361" t="s">
        <v>1128</v>
      </c>
      <c r="F814" s="362" t="s">
        <v>1342</v>
      </c>
      <c r="G814" s="359">
        <v>19.39</v>
      </c>
      <c r="H814" s="363">
        <f t="shared" si="80"/>
        <v>11.634</v>
      </c>
    </row>
    <row r="815" spans="2:8">
      <c r="B815" s="699" t="s">
        <v>1231</v>
      </c>
      <c r="C815" s="700"/>
      <c r="D815" s="700"/>
      <c r="E815" s="700"/>
      <c r="F815" s="700"/>
      <c r="G815" s="701"/>
      <c r="H815" s="364">
        <f>SUM(H810:H814)</f>
        <v>32.136476572109999</v>
      </c>
    </row>
    <row r="816" spans="2:8">
      <c r="B816" s="711"/>
      <c r="C816" s="712"/>
      <c r="D816" s="712"/>
      <c r="E816" s="712"/>
      <c r="F816" s="712"/>
      <c r="G816" s="712"/>
      <c r="H816" s="713"/>
    </row>
    <row r="817" spans="2:8" ht="38.25">
      <c r="B817" s="367" t="s">
        <v>2033</v>
      </c>
      <c r="C817" s="368" t="s">
        <v>506</v>
      </c>
      <c r="D817" s="369" t="s">
        <v>12</v>
      </c>
      <c r="E817" s="369" t="s">
        <v>507</v>
      </c>
      <c r="F817" s="370"/>
      <c r="G817" s="356"/>
      <c r="H817" s="371"/>
    </row>
    <row r="818" spans="2:8" ht="38.25">
      <c r="B818" s="358">
        <v>3733</v>
      </c>
      <c r="C818" s="360" t="s">
        <v>1560</v>
      </c>
      <c r="D818" s="361" t="s">
        <v>401</v>
      </c>
      <c r="E818" s="361" t="s">
        <v>24</v>
      </c>
      <c r="F818" s="362">
        <v>1.0299578060000001</v>
      </c>
      <c r="G818" s="359">
        <v>70.83</v>
      </c>
      <c r="H818" s="363">
        <f>F818*G818</f>
        <v>72.951911398980002</v>
      </c>
    </row>
    <row r="819" spans="2:8">
      <c r="B819" s="358">
        <v>37595</v>
      </c>
      <c r="C819" s="360" t="s">
        <v>1561</v>
      </c>
      <c r="D819" s="361" t="s">
        <v>401</v>
      </c>
      <c r="E819" s="361" t="s">
        <v>112</v>
      </c>
      <c r="F819" s="362">
        <v>5</v>
      </c>
      <c r="G819" s="359">
        <v>1.84</v>
      </c>
      <c r="H819" s="363">
        <f t="shared" ref="H819:H821" si="81">F819*G819</f>
        <v>9.2000000000000011</v>
      </c>
    </row>
    <row r="820" spans="2:8" ht="25.5">
      <c r="B820" s="358">
        <v>7353</v>
      </c>
      <c r="C820" s="360" t="s">
        <v>1562</v>
      </c>
      <c r="D820" s="361" t="s">
        <v>401</v>
      </c>
      <c r="E820" s="361" t="s">
        <v>1293</v>
      </c>
      <c r="F820" s="362" t="s">
        <v>1387</v>
      </c>
      <c r="G820" s="359">
        <v>32.880000000000003</v>
      </c>
      <c r="H820" s="363">
        <f t="shared" si="81"/>
        <v>3.9456000000000002</v>
      </c>
    </row>
    <row r="821" spans="2:8" ht="25.5">
      <c r="B821" s="358" t="s">
        <v>1337</v>
      </c>
      <c r="C821" s="360" t="s">
        <v>1338</v>
      </c>
      <c r="D821" s="361" t="s">
        <v>12</v>
      </c>
      <c r="E821" s="361" t="s">
        <v>1128</v>
      </c>
      <c r="F821" s="362" t="s">
        <v>1465</v>
      </c>
      <c r="G821" s="359">
        <v>26.2</v>
      </c>
      <c r="H821" s="363">
        <f t="shared" si="81"/>
        <v>9.17</v>
      </c>
    </row>
    <row r="822" spans="2:8" ht="25.5">
      <c r="B822" s="358" t="s">
        <v>1285</v>
      </c>
      <c r="C822" s="360" t="s">
        <v>1286</v>
      </c>
      <c r="D822" s="361" t="s">
        <v>12</v>
      </c>
      <c r="E822" s="361" t="s">
        <v>1128</v>
      </c>
      <c r="F822" s="362" t="s">
        <v>1403</v>
      </c>
      <c r="G822" s="359">
        <v>19.39</v>
      </c>
      <c r="H822" s="363">
        <f>F822*G822</f>
        <v>13.573</v>
      </c>
    </row>
    <row r="823" spans="2:8">
      <c r="B823" s="699" t="s">
        <v>1231</v>
      </c>
      <c r="C823" s="700"/>
      <c r="D823" s="700"/>
      <c r="E823" s="700"/>
      <c r="F823" s="700"/>
      <c r="G823" s="701"/>
      <c r="H823" s="364">
        <f>SUM(H818:H822)</f>
        <v>108.84051139898</v>
      </c>
    </row>
    <row r="824" spans="2:8">
      <c r="B824" s="702"/>
      <c r="C824" s="703"/>
      <c r="D824" s="703"/>
      <c r="E824" s="703"/>
      <c r="F824" s="703"/>
      <c r="G824" s="703"/>
      <c r="H824" s="704"/>
    </row>
    <row r="825" spans="2:8" ht="38.25">
      <c r="B825" s="367" t="s">
        <v>2034</v>
      </c>
      <c r="C825" s="368" t="s">
        <v>509</v>
      </c>
      <c r="D825" s="369" t="s">
        <v>12</v>
      </c>
      <c r="E825" s="369" t="s">
        <v>15</v>
      </c>
      <c r="F825" s="370"/>
      <c r="G825" s="356"/>
      <c r="H825" s="371"/>
    </row>
    <row r="826" spans="2:8" ht="25.5">
      <c r="B826" s="358" t="s">
        <v>1563</v>
      </c>
      <c r="C826" s="360" t="s">
        <v>1564</v>
      </c>
      <c r="D826" s="361" t="s">
        <v>1302</v>
      </c>
      <c r="E826" s="361" t="s">
        <v>15</v>
      </c>
      <c r="F826" s="362">
        <v>1</v>
      </c>
      <c r="G826" s="359">
        <f>118.5*1.2173</f>
        <v>144.25005000000002</v>
      </c>
      <c r="H826" s="363">
        <f>F826*G826</f>
        <v>144.25005000000002</v>
      </c>
    </row>
    <row r="827" spans="2:8">
      <c r="B827" s="358">
        <v>88316</v>
      </c>
      <c r="C827" s="360" t="s">
        <v>1246</v>
      </c>
      <c r="D827" s="361" t="s">
        <v>1228</v>
      </c>
      <c r="E827" s="361" t="s">
        <v>1128</v>
      </c>
      <c r="F827" s="362" t="s">
        <v>1275</v>
      </c>
      <c r="G827" s="359">
        <v>19.39</v>
      </c>
      <c r="H827" s="363">
        <f t="shared" ref="H827:H828" si="82">F827*G827</f>
        <v>1.1634</v>
      </c>
    </row>
    <row r="828" spans="2:8" ht="25.5">
      <c r="B828" s="358" t="s">
        <v>1565</v>
      </c>
      <c r="C828" s="360" t="s">
        <v>1566</v>
      </c>
      <c r="D828" s="361" t="s">
        <v>12</v>
      </c>
      <c r="E828" s="361" t="s">
        <v>75</v>
      </c>
      <c r="F828" s="362" t="s">
        <v>1567</v>
      </c>
      <c r="G828" s="359">
        <f>471.98*1.2173</f>
        <v>574.54125400000009</v>
      </c>
      <c r="H828" s="363">
        <f t="shared" si="82"/>
        <v>3.5908828375000006</v>
      </c>
    </row>
    <row r="829" spans="2:8">
      <c r="B829" s="699" t="s">
        <v>1231</v>
      </c>
      <c r="C829" s="700"/>
      <c r="D829" s="700"/>
      <c r="E829" s="700"/>
      <c r="F829" s="700"/>
      <c r="G829" s="701"/>
      <c r="H829" s="364">
        <f>SUM(H826:H828)</f>
        <v>149.00433283750002</v>
      </c>
    </row>
    <row r="830" spans="2:8">
      <c r="B830" s="711"/>
      <c r="C830" s="712"/>
      <c r="D830" s="712"/>
      <c r="E830" s="712"/>
      <c r="F830" s="712"/>
      <c r="G830" s="712"/>
      <c r="H830" s="713"/>
    </row>
    <row r="831" spans="2:8" ht="63.75">
      <c r="B831" s="367" t="s">
        <v>2035</v>
      </c>
      <c r="C831" s="368" t="s">
        <v>2036</v>
      </c>
      <c r="D831" s="369" t="s">
        <v>12</v>
      </c>
      <c r="E831" s="369" t="s">
        <v>15</v>
      </c>
      <c r="F831" s="370"/>
      <c r="G831" s="356"/>
      <c r="H831" s="371"/>
    </row>
    <row r="832" spans="2:8" ht="51">
      <c r="B832" s="358">
        <v>11795</v>
      </c>
      <c r="C832" s="360" t="s">
        <v>1401</v>
      </c>
      <c r="D832" s="361" t="s">
        <v>401</v>
      </c>
      <c r="E832" s="361" t="s">
        <v>24</v>
      </c>
      <c r="F832" s="362" t="s">
        <v>1568</v>
      </c>
      <c r="G832" s="359">
        <v>467.92</v>
      </c>
      <c r="H832" s="363">
        <f>F832*G832</f>
        <v>369.65680000000003</v>
      </c>
    </row>
    <row r="833" spans="2:8">
      <c r="B833" s="358">
        <v>37329</v>
      </c>
      <c r="C833" s="360" t="s">
        <v>1569</v>
      </c>
      <c r="D833" s="361" t="s">
        <v>401</v>
      </c>
      <c r="E833" s="361" t="s">
        <v>112</v>
      </c>
      <c r="F833" s="362" t="s">
        <v>1570</v>
      </c>
      <c r="G833" s="359">
        <v>74.2</v>
      </c>
      <c r="H833" s="363">
        <f t="shared" ref="H833:H838" si="83">F833*G833</f>
        <v>1.9069400000000001</v>
      </c>
    </row>
    <row r="834" spans="2:8" ht="38.25">
      <c r="B834" s="358">
        <v>37590</v>
      </c>
      <c r="C834" s="360" t="s">
        <v>1571</v>
      </c>
      <c r="D834" s="361" t="s">
        <v>401</v>
      </c>
      <c r="E834" s="361" t="s">
        <v>37</v>
      </c>
      <c r="F834" s="362">
        <v>2</v>
      </c>
      <c r="G834" s="359">
        <v>23.25</v>
      </c>
      <c r="H834" s="363">
        <f t="shared" si="83"/>
        <v>46.5</v>
      </c>
    </row>
    <row r="835" spans="2:8" ht="25.5">
      <c r="B835" s="358">
        <v>4823</v>
      </c>
      <c r="C835" s="360" t="s">
        <v>1572</v>
      </c>
      <c r="D835" s="361" t="s">
        <v>401</v>
      </c>
      <c r="E835" s="361" t="s">
        <v>112</v>
      </c>
      <c r="F835" s="362" t="s">
        <v>1573</v>
      </c>
      <c r="G835" s="359">
        <v>34.479999999999997</v>
      </c>
      <c r="H835" s="363">
        <f t="shared" si="83"/>
        <v>13.254111999999999</v>
      </c>
    </row>
    <row r="836" spans="2:8" ht="51">
      <c r="B836" s="358">
        <v>7568</v>
      </c>
      <c r="C836" s="360" t="s">
        <v>1462</v>
      </c>
      <c r="D836" s="361" t="s">
        <v>401</v>
      </c>
      <c r="E836" s="361" t="s">
        <v>37</v>
      </c>
      <c r="F836" s="362">
        <v>6</v>
      </c>
      <c r="G836" s="359">
        <v>1.1000000000000001</v>
      </c>
      <c r="H836" s="363">
        <f t="shared" si="83"/>
        <v>6.6000000000000005</v>
      </c>
    </row>
    <row r="837" spans="2:8" ht="25.5">
      <c r="B837" s="358" t="s">
        <v>1404</v>
      </c>
      <c r="C837" s="360" t="s">
        <v>1405</v>
      </c>
      <c r="D837" s="361" t="s">
        <v>12</v>
      </c>
      <c r="E837" s="361" t="s">
        <v>1128</v>
      </c>
      <c r="F837" s="362">
        <v>1.9201009250000001</v>
      </c>
      <c r="G837" s="359">
        <v>26.1</v>
      </c>
      <c r="H837" s="363">
        <f t="shared" si="83"/>
        <v>50.114634142500002</v>
      </c>
    </row>
    <row r="838" spans="2:8" ht="25.5">
      <c r="B838" s="358" t="s">
        <v>1285</v>
      </c>
      <c r="C838" s="360" t="s">
        <v>1286</v>
      </c>
      <c r="D838" s="361" t="s">
        <v>12</v>
      </c>
      <c r="E838" s="361" t="s">
        <v>1128</v>
      </c>
      <c r="F838" s="362">
        <v>1.918968692</v>
      </c>
      <c r="G838" s="359">
        <v>19.39</v>
      </c>
      <c r="H838" s="363">
        <f t="shared" si="83"/>
        <v>37.208802937880002</v>
      </c>
    </row>
    <row r="839" spans="2:8">
      <c r="B839" s="699" t="s">
        <v>1231</v>
      </c>
      <c r="C839" s="700"/>
      <c r="D839" s="700"/>
      <c r="E839" s="700"/>
      <c r="F839" s="700"/>
      <c r="G839" s="701"/>
      <c r="H839" s="364">
        <f>SUM(H832:H838)</f>
        <v>525.24128908038006</v>
      </c>
    </row>
    <row r="840" spans="2:8">
      <c r="B840" s="702"/>
      <c r="C840" s="703"/>
      <c r="D840" s="703"/>
      <c r="E840" s="703"/>
      <c r="F840" s="703"/>
      <c r="G840" s="703"/>
      <c r="H840" s="704"/>
    </row>
    <row r="841" spans="2:8" ht="51">
      <c r="B841" s="367" t="s">
        <v>2037</v>
      </c>
      <c r="C841" s="368" t="s">
        <v>1849</v>
      </c>
      <c r="D841" s="369" t="s">
        <v>12</v>
      </c>
      <c r="E841" s="369" t="s">
        <v>15</v>
      </c>
      <c r="F841" s="370"/>
      <c r="G841" s="356"/>
      <c r="H841" s="371"/>
    </row>
    <row r="842" spans="2:8" ht="51">
      <c r="B842" s="358">
        <v>11795</v>
      </c>
      <c r="C842" s="360" t="s">
        <v>1401</v>
      </c>
      <c r="D842" s="361" t="s">
        <v>401</v>
      </c>
      <c r="E842" s="361" t="s">
        <v>24</v>
      </c>
      <c r="F842" s="362" t="s">
        <v>1378</v>
      </c>
      <c r="G842" s="359">
        <v>467.92</v>
      </c>
      <c r="H842" s="363">
        <f>F842*G842</f>
        <v>350.94</v>
      </c>
    </row>
    <row r="843" spans="2:8">
      <c r="B843" s="358">
        <v>37329</v>
      </c>
      <c r="C843" s="360" t="s">
        <v>1569</v>
      </c>
      <c r="D843" s="361" t="s">
        <v>401</v>
      </c>
      <c r="E843" s="361" t="s">
        <v>112</v>
      </c>
      <c r="F843" s="362" t="s">
        <v>1340</v>
      </c>
      <c r="G843" s="359">
        <v>74.2</v>
      </c>
      <c r="H843" s="363">
        <f t="shared" ref="H843:H847" si="84">F843*G843</f>
        <v>2.226</v>
      </c>
    </row>
    <row r="844" spans="2:8" ht="38.25">
      <c r="B844" s="358">
        <v>37591</v>
      </c>
      <c r="C844" s="360" t="s">
        <v>1574</v>
      </c>
      <c r="D844" s="361" t="s">
        <v>401</v>
      </c>
      <c r="E844" s="361" t="s">
        <v>37</v>
      </c>
      <c r="F844" s="362">
        <v>2</v>
      </c>
      <c r="G844" s="359">
        <v>27.95</v>
      </c>
      <c r="H844" s="363">
        <f t="shared" si="84"/>
        <v>55.9</v>
      </c>
    </row>
    <row r="845" spans="2:8" ht="25.5">
      <c r="B845" s="358">
        <v>4823</v>
      </c>
      <c r="C845" s="360" t="s">
        <v>1572</v>
      </c>
      <c r="D845" s="361" t="s">
        <v>401</v>
      </c>
      <c r="E845" s="361" t="s">
        <v>112</v>
      </c>
      <c r="F845" s="362" t="s">
        <v>1418</v>
      </c>
      <c r="G845" s="359">
        <v>34.479999999999997</v>
      </c>
      <c r="H845" s="363">
        <f t="shared" si="84"/>
        <v>13.792</v>
      </c>
    </row>
    <row r="846" spans="2:8" ht="25.5">
      <c r="B846" s="358" t="s">
        <v>1404</v>
      </c>
      <c r="C846" s="360" t="s">
        <v>1405</v>
      </c>
      <c r="D846" s="361" t="s">
        <v>12</v>
      </c>
      <c r="E846" s="361" t="s">
        <v>1128</v>
      </c>
      <c r="F846" s="362">
        <v>1.5004205209999999</v>
      </c>
      <c r="G846" s="359">
        <v>26.1</v>
      </c>
      <c r="H846" s="363">
        <f t="shared" si="84"/>
        <v>39.160975598100002</v>
      </c>
    </row>
    <row r="847" spans="2:8" ht="25.5">
      <c r="B847" s="358" t="s">
        <v>1285</v>
      </c>
      <c r="C847" s="360" t="s">
        <v>1286</v>
      </c>
      <c r="D847" s="361" t="s">
        <v>12</v>
      </c>
      <c r="E847" s="361" t="s">
        <v>1128</v>
      </c>
      <c r="F847" s="362">
        <v>1.49907919</v>
      </c>
      <c r="G847" s="359">
        <v>19.39</v>
      </c>
      <c r="H847" s="363">
        <f t="shared" si="84"/>
        <v>29.0671454941</v>
      </c>
    </row>
    <row r="848" spans="2:8">
      <c r="B848" s="699" t="s">
        <v>1231</v>
      </c>
      <c r="C848" s="700"/>
      <c r="D848" s="700"/>
      <c r="E848" s="700"/>
      <c r="F848" s="700"/>
      <c r="G848" s="701"/>
      <c r="H848" s="364">
        <f>SUM(H842:H847)</f>
        <v>491.0861210921999</v>
      </c>
    </row>
    <row r="849" spans="2:11">
      <c r="B849" s="377"/>
      <c r="C849" s="378"/>
      <c r="D849" s="378"/>
      <c r="E849" s="378"/>
      <c r="F849" s="378"/>
      <c r="G849" s="378"/>
      <c r="H849" s="411"/>
    </row>
    <row r="850" spans="2:11" ht="38.25">
      <c r="B850" s="384" t="s">
        <v>2038</v>
      </c>
      <c r="C850" s="385" t="s">
        <v>1844</v>
      </c>
      <c r="D850" s="386" t="s">
        <v>12</v>
      </c>
      <c r="E850" s="386" t="s">
        <v>37</v>
      </c>
      <c r="F850" s="362"/>
      <c r="G850" s="359"/>
      <c r="H850" s="387"/>
    </row>
    <row r="851" spans="2:11" ht="57" customHeight="1">
      <c r="B851" s="388" t="s">
        <v>1850</v>
      </c>
      <c r="C851" s="360" t="s">
        <v>1851</v>
      </c>
      <c r="D851" s="361" t="s">
        <v>401</v>
      </c>
      <c r="E851" s="361" t="s">
        <v>24</v>
      </c>
      <c r="F851" s="362">
        <v>1.26</v>
      </c>
      <c r="G851" s="359">
        <f>1090*1.2173</f>
        <v>1326.857</v>
      </c>
      <c r="H851" s="387">
        <f>F851*G851</f>
        <v>1671.8398199999999</v>
      </c>
    </row>
    <row r="852" spans="2:11" ht="29.25" customHeight="1">
      <c r="B852" s="412">
        <v>15030002</v>
      </c>
      <c r="C852" s="360" t="s">
        <v>1852</v>
      </c>
      <c r="D852" s="361" t="s">
        <v>401</v>
      </c>
      <c r="E852" s="361" t="s">
        <v>37</v>
      </c>
      <c r="F852" s="362">
        <v>1</v>
      </c>
      <c r="G852" s="359">
        <f>283.47*1.2173</f>
        <v>345.06803100000002</v>
      </c>
      <c r="H852" s="387">
        <f>F852*G852</f>
        <v>345.06803100000002</v>
      </c>
    </row>
    <row r="853" spans="2:11" ht="25.5">
      <c r="B853" s="388" t="s">
        <v>1287</v>
      </c>
      <c r="C853" s="360" t="s">
        <v>1853</v>
      </c>
      <c r="D853" s="361" t="s">
        <v>401</v>
      </c>
      <c r="E853" s="361" t="s">
        <v>112</v>
      </c>
      <c r="F853" s="362" t="s">
        <v>1340</v>
      </c>
      <c r="G853" s="359">
        <v>494.98</v>
      </c>
      <c r="H853" s="387">
        <f>F853*G853</f>
        <v>14.849399999999999</v>
      </c>
    </row>
    <row r="854" spans="2:11" ht="38.25">
      <c r="B854" s="388">
        <v>37591</v>
      </c>
      <c r="C854" s="360" t="s">
        <v>1574</v>
      </c>
      <c r="D854" s="361" t="s">
        <v>401</v>
      </c>
      <c r="E854" s="361" t="s">
        <v>37</v>
      </c>
      <c r="F854" s="362">
        <v>2</v>
      </c>
      <c r="G854" s="359">
        <v>27.95</v>
      </c>
      <c r="H854" s="387">
        <f>F854*G854</f>
        <v>55.9</v>
      </c>
    </row>
    <row r="855" spans="2:11" ht="25.5">
      <c r="B855" s="388" t="s">
        <v>1390</v>
      </c>
      <c r="C855" s="360" t="s">
        <v>1854</v>
      </c>
      <c r="D855" s="361" t="s">
        <v>12</v>
      </c>
      <c r="E855" s="361" t="s">
        <v>15</v>
      </c>
      <c r="F855" s="362">
        <v>1.85</v>
      </c>
      <c r="G855" s="359">
        <v>64.17</v>
      </c>
      <c r="H855" s="387">
        <f>F855*G855</f>
        <v>118.71450000000002</v>
      </c>
    </row>
    <row r="856" spans="2:11" ht="25.5">
      <c r="B856" s="388" t="s">
        <v>1404</v>
      </c>
      <c r="C856" s="360" t="s">
        <v>1405</v>
      </c>
      <c r="D856" s="361" t="s">
        <v>12</v>
      </c>
      <c r="E856" s="361" t="s">
        <v>1128</v>
      </c>
      <c r="F856" s="362">
        <v>1.9</v>
      </c>
      <c r="G856" s="359">
        <v>26.1</v>
      </c>
      <c r="H856" s="387">
        <f t="shared" ref="H856:H857" si="85">F856*G856</f>
        <v>49.59</v>
      </c>
    </row>
    <row r="857" spans="2:11" ht="25.5">
      <c r="B857" s="388" t="s">
        <v>1285</v>
      </c>
      <c r="C857" s="360" t="s">
        <v>1286</v>
      </c>
      <c r="D857" s="361" t="s">
        <v>12</v>
      </c>
      <c r="E857" s="361" t="s">
        <v>1128</v>
      </c>
      <c r="F857" s="362">
        <v>1.9</v>
      </c>
      <c r="G857" s="359">
        <v>19.39</v>
      </c>
      <c r="H857" s="387">
        <f t="shared" si="85"/>
        <v>36.841000000000001</v>
      </c>
    </row>
    <row r="858" spans="2:11">
      <c r="B858" s="702" t="s">
        <v>1231</v>
      </c>
      <c r="C858" s="703"/>
      <c r="D858" s="703"/>
      <c r="E858" s="703"/>
      <c r="F858" s="703"/>
      <c r="G858" s="704"/>
      <c r="H858" s="413">
        <f>SUM(H851:H857)</f>
        <v>2292.8027510000002</v>
      </c>
    </row>
    <row r="859" spans="2:11" ht="38.25">
      <c r="B859" s="367" t="s">
        <v>2039</v>
      </c>
      <c r="C859" s="368" t="s">
        <v>1845</v>
      </c>
      <c r="D859" s="369" t="s">
        <v>12</v>
      </c>
      <c r="E859" s="369" t="s">
        <v>37</v>
      </c>
      <c r="F859" s="370"/>
      <c r="G859" s="356"/>
      <c r="H859" s="371"/>
      <c r="K859" s="347"/>
    </row>
    <row r="860" spans="2:11" ht="51">
      <c r="B860" s="358" t="s">
        <v>1850</v>
      </c>
      <c r="C860" s="360" t="s">
        <v>1851</v>
      </c>
      <c r="D860" s="361" t="s">
        <v>401</v>
      </c>
      <c r="E860" s="361" t="s">
        <v>24</v>
      </c>
      <c r="F860" s="362">
        <v>1.65</v>
      </c>
      <c r="G860" s="359">
        <f>1090*1.2173</f>
        <v>1326.857</v>
      </c>
      <c r="H860" s="363">
        <f>F860*G860</f>
        <v>2189.31405</v>
      </c>
    </row>
    <row r="861" spans="2:11" ht="25.5">
      <c r="B861" s="414">
        <v>15030005</v>
      </c>
      <c r="C861" s="360" t="s">
        <v>1855</v>
      </c>
      <c r="D861" s="361" t="s">
        <v>401</v>
      </c>
      <c r="E861" s="361" t="s">
        <v>37</v>
      </c>
      <c r="F861" s="362">
        <v>1</v>
      </c>
      <c r="G861" s="359">
        <f>478.46*1.2173</f>
        <v>582.42935799999998</v>
      </c>
      <c r="H861" s="363">
        <f>F861*G861</f>
        <v>582.42935799999998</v>
      </c>
    </row>
    <row r="862" spans="2:11" ht="25.5">
      <c r="B862" s="358" t="s">
        <v>1287</v>
      </c>
      <c r="C862" s="360" t="s">
        <v>1853</v>
      </c>
      <c r="D862" s="361" t="s">
        <v>401</v>
      </c>
      <c r="E862" s="361" t="s">
        <v>112</v>
      </c>
      <c r="F862" s="362">
        <v>4.2000000000000003E-2</v>
      </c>
      <c r="G862" s="359">
        <v>494.98</v>
      </c>
      <c r="H862" s="363">
        <f>F862*G862</f>
        <v>20.789160000000003</v>
      </c>
    </row>
    <row r="863" spans="2:11" ht="38.25">
      <c r="B863" s="358">
        <v>37591</v>
      </c>
      <c r="C863" s="360" t="s">
        <v>1574</v>
      </c>
      <c r="D863" s="361" t="s">
        <v>401</v>
      </c>
      <c r="E863" s="361" t="s">
        <v>37</v>
      </c>
      <c r="F863" s="362">
        <v>4</v>
      </c>
      <c r="G863" s="359">
        <v>27.95</v>
      </c>
      <c r="H863" s="363">
        <f>F863*G863</f>
        <v>111.8</v>
      </c>
    </row>
    <row r="864" spans="2:11" ht="25.5">
      <c r="B864" s="358" t="s">
        <v>1390</v>
      </c>
      <c r="C864" s="360" t="s">
        <v>1854</v>
      </c>
      <c r="D864" s="361" t="s">
        <v>12</v>
      </c>
      <c r="E864" s="361" t="s">
        <v>15</v>
      </c>
      <c r="F864" s="362">
        <v>2.6</v>
      </c>
      <c r="G864" s="359">
        <v>64.17</v>
      </c>
      <c r="H864" s="363">
        <f>F864*G864</f>
        <v>166.84200000000001</v>
      </c>
    </row>
    <row r="865" spans="2:8" ht="25.5">
      <c r="B865" s="358" t="s">
        <v>1404</v>
      </c>
      <c r="C865" s="360" t="s">
        <v>1405</v>
      </c>
      <c r="D865" s="361" t="s">
        <v>12</v>
      </c>
      <c r="E865" s="361" t="s">
        <v>1128</v>
      </c>
      <c r="F865" s="362">
        <v>2.4</v>
      </c>
      <c r="G865" s="359">
        <v>26.1</v>
      </c>
      <c r="H865" s="363">
        <f t="shared" ref="H865:H866" si="86">F865*G865</f>
        <v>62.64</v>
      </c>
    </row>
    <row r="866" spans="2:8" ht="25.5">
      <c r="B866" s="358" t="s">
        <v>1285</v>
      </c>
      <c r="C866" s="360" t="s">
        <v>1286</v>
      </c>
      <c r="D866" s="361" t="s">
        <v>12</v>
      </c>
      <c r="E866" s="361" t="s">
        <v>1128</v>
      </c>
      <c r="F866" s="362">
        <v>2.4</v>
      </c>
      <c r="G866" s="359">
        <v>19.39</v>
      </c>
      <c r="H866" s="363">
        <f t="shared" si="86"/>
        <v>46.536000000000001</v>
      </c>
    </row>
    <row r="867" spans="2:8">
      <c r="B867" s="699" t="s">
        <v>1231</v>
      </c>
      <c r="C867" s="700"/>
      <c r="D867" s="700"/>
      <c r="E867" s="700"/>
      <c r="F867" s="700"/>
      <c r="G867" s="701"/>
      <c r="H867" s="364">
        <f>SUM(H860:H866)</f>
        <v>3180.3505679999998</v>
      </c>
    </row>
    <row r="868" spans="2:8">
      <c r="B868" s="377"/>
      <c r="C868" s="378"/>
      <c r="D868" s="378"/>
      <c r="E868" s="378"/>
      <c r="F868" s="378"/>
      <c r="G868" s="378"/>
      <c r="H868" s="411"/>
    </row>
    <row r="869" spans="2:8" ht="38.25">
      <c r="B869" s="384" t="s">
        <v>2040</v>
      </c>
      <c r="C869" s="385" t="s">
        <v>1846</v>
      </c>
      <c r="D869" s="386" t="s">
        <v>12</v>
      </c>
      <c r="E869" s="386" t="s">
        <v>37</v>
      </c>
      <c r="F869" s="362"/>
      <c r="G869" s="359"/>
      <c r="H869" s="387"/>
    </row>
    <row r="870" spans="2:8" ht="51">
      <c r="B870" s="388" t="s">
        <v>1850</v>
      </c>
      <c r="C870" s="360" t="s">
        <v>1851</v>
      </c>
      <c r="D870" s="361" t="s">
        <v>401</v>
      </c>
      <c r="E870" s="361" t="s">
        <v>24</v>
      </c>
      <c r="F870" s="362">
        <v>1.62</v>
      </c>
      <c r="G870" s="359">
        <f>1090*1.2173</f>
        <v>1326.857</v>
      </c>
      <c r="H870" s="387">
        <f>F870*G870</f>
        <v>2149.5083400000003</v>
      </c>
    </row>
    <row r="871" spans="2:8" ht="25.5">
      <c r="B871" s="412">
        <v>15030002</v>
      </c>
      <c r="C871" s="360" t="s">
        <v>1852</v>
      </c>
      <c r="D871" s="361" t="s">
        <v>401</v>
      </c>
      <c r="E871" s="361" t="s">
        <v>37</v>
      </c>
      <c r="F871" s="362">
        <v>1</v>
      </c>
      <c r="G871" s="359">
        <f>283.47*1.2173</f>
        <v>345.06803100000002</v>
      </c>
      <c r="H871" s="387">
        <f>F871*G871</f>
        <v>345.06803100000002</v>
      </c>
    </row>
    <row r="872" spans="2:8" ht="25.5">
      <c r="B872" s="388" t="s">
        <v>1287</v>
      </c>
      <c r="C872" s="360" t="s">
        <v>1853</v>
      </c>
      <c r="D872" s="361" t="s">
        <v>401</v>
      </c>
      <c r="E872" s="361" t="s">
        <v>112</v>
      </c>
      <c r="F872" s="362">
        <v>0.04</v>
      </c>
      <c r="G872" s="359">
        <v>494.98</v>
      </c>
      <c r="H872" s="387">
        <f>F872*G872</f>
        <v>19.799200000000003</v>
      </c>
    </row>
    <row r="873" spans="2:8" ht="38.25">
      <c r="B873" s="388">
        <v>37591</v>
      </c>
      <c r="C873" s="360" t="s">
        <v>1574</v>
      </c>
      <c r="D873" s="361" t="s">
        <v>401</v>
      </c>
      <c r="E873" s="361" t="s">
        <v>37</v>
      </c>
      <c r="F873" s="362">
        <v>4</v>
      </c>
      <c r="G873" s="359">
        <v>27.95</v>
      </c>
      <c r="H873" s="387">
        <f>F873*G873</f>
        <v>111.8</v>
      </c>
    </row>
    <row r="874" spans="2:8" ht="25.5">
      <c r="B874" s="388" t="s">
        <v>1390</v>
      </c>
      <c r="C874" s="360" t="s">
        <v>1854</v>
      </c>
      <c r="D874" s="361" t="s">
        <v>12</v>
      </c>
      <c r="E874" s="361" t="s">
        <v>15</v>
      </c>
      <c r="F874" s="362">
        <v>1.85</v>
      </c>
      <c r="G874" s="359">
        <v>64.17</v>
      </c>
      <c r="H874" s="387">
        <f>F874*G874</f>
        <v>118.71450000000002</v>
      </c>
    </row>
    <row r="875" spans="2:8" ht="25.5">
      <c r="B875" s="388" t="s">
        <v>1404</v>
      </c>
      <c r="C875" s="360" t="s">
        <v>1405</v>
      </c>
      <c r="D875" s="361" t="s">
        <v>12</v>
      </c>
      <c r="E875" s="361" t="s">
        <v>1128</v>
      </c>
      <c r="F875" s="362">
        <v>1.9</v>
      </c>
      <c r="G875" s="359">
        <v>26.1</v>
      </c>
      <c r="H875" s="387">
        <f t="shared" ref="H875:H876" si="87">F875*G875</f>
        <v>49.59</v>
      </c>
    </row>
    <row r="876" spans="2:8" ht="25.5">
      <c r="B876" s="388" t="s">
        <v>1285</v>
      </c>
      <c r="C876" s="360" t="s">
        <v>1286</v>
      </c>
      <c r="D876" s="361" t="s">
        <v>12</v>
      </c>
      <c r="E876" s="361" t="s">
        <v>1128</v>
      </c>
      <c r="F876" s="362">
        <v>1.9</v>
      </c>
      <c r="G876" s="359">
        <v>19.39</v>
      </c>
      <c r="H876" s="387">
        <f t="shared" si="87"/>
        <v>36.841000000000001</v>
      </c>
    </row>
    <row r="877" spans="2:8">
      <c r="B877" s="720" t="s">
        <v>1231</v>
      </c>
      <c r="C877" s="721"/>
      <c r="D877" s="721"/>
      <c r="E877" s="721"/>
      <c r="F877" s="721"/>
      <c r="G877" s="722"/>
      <c r="H877" s="389">
        <f>SUM(H870:H876)</f>
        <v>2831.3210710000003</v>
      </c>
    </row>
    <row r="878" spans="2:8">
      <c r="B878" s="379"/>
      <c r="C878" s="380"/>
      <c r="D878" s="380"/>
      <c r="E878" s="380"/>
      <c r="F878" s="380"/>
      <c r="G878" s="380"/>
      <c r="H878" s="381"/>
    </row>
    <row r="879" spans="2:8" ht="51">
      <c r="B879" s="367" t="s">
        <v>2041</v>
      </c>
      <c r="C879" s="368" t="s">
        <v>1847</v>
      </c>
      <c r="D879" s="369" t="s">
        <v>12</v>
      </c>
      <c r="E879" s="369" t="s">
        <v>37</v>
      </c>
      <c r="F879" s="370"/>
      <c r="G879" s="356"/>
      <c r="H879" s="371"/>
    </row>
    <row r="880" spans="2:8" ht="51">
      <c r="B880" s="358" t="s">
        <v>1850</v>
      </c>
      <c r="C880" s="360" t="s">
        <v>1851</v>
      </c>
      <c r="D880" s="361" t="s">
        <v>401</v>
      </c>
      <c r="E880" s="361" t="s">
        <v>24</v>
      </c>
      <c r="F880" s="362">
        <v>1.95</v>
      </c>
      <c r="G880" s="359">
        <f>1090*1.2173</f>
        <v>1326.857</v>
      </c>
      <c r="H880" s="363">
        <f>F880*G880</f>
        <v>2587.3711499999999</v>
      </c>
    </row>
    <row r="881" spans="2:8" ht="25.5">
      <c r="B881" s="414">
        <v>15030008</v>
      </c>
      <c r="C881" s="360" t="s">
        <v>1856</v>
      </c>
      <c r="D881" s="361" t="s">
        <v>401</v>
      </c>
      <c r="E881" s="361" t="s">
        <v>37</v>
      </c>
      <c r="F881" s="362">
        <v>5</v>
      </c>
      <c r="G881" s="359">
        <f>465.56*1.2173</f>
        <v>566.72618799999998</v>
      </c>
      <c r="H881" s="363">
        <f>F881*G881</f>
        <v>2833.63094</v>
      </c>
    </row>
    <row r="882" spans="2:8" ht="25.5">
      <c r="B882" s="358" t="s">
        <v>1287</v>
      </c>
      <c r="C882" s="360" t="s">
        <v>1853</v>
      </c>
      <c r="D882" s="361" t="s">
        <v>401</v>
      </c>
      <c r="E882" s="361" t="s">
        <v>112</v>
      </c>
      <c r="F882" s="362">
        <v>2.5999999999999999E-2</v>
      </c>
      <c r="G882" s="359">
        <v>494.98</v>
      </c>
      <c r="H882" s="363">
        <f>F882*G882</f>
        <v>12.869479999999999</v>
      </c>
    </row>
    <row r="883" spans="2:8" ht="38.25">
      <c r="B883" s="358">
        <v>37591</v>
      </c>
      <c r="C883" s="360" t="s">
        <v>1574</v>
      </c>
      <c r="D883" s="361" t="s">
        <v>401</v>
      </c>
      <c r="E883" s="361" t="s">
        <v>37</v>
      </c>
      <c r="F883" s="362">
        <v>6</v>
      </c>
      <c r="G883" s="359">
        <v>27.95</v>
      </c>
      <c r="H883" s="363">
        <f>F883*G883</f>
        <v>167.7</v>
      </c>
    </row>
    <row r="884" spans="2:8" ht="25.5">
      <c r="B884" s="358" t="s">
        <v>1390</v>
      </c>
      <c r="C884" s="360" t="s">
        <v>1854</v>
      </c>
      <c r="D884" s="361" t="s">
        <v>12</v>
      </c>
      <c r="E884" s="361" t="s">
        <v>15</v>
      </c>
      <c r="F884" s="362">
        <v>9.25</v>
      </c>
      <c r="G884" s="359">
        <v>64.17</v>
      </c>
      <c r="H884" s="363">
        <f>F884*G884</f>
        <v>593.57249999999999</v>
      </c>
    </row>
    <row r="885" spans="2:8" ht="25.5">
      <c r="B885" s="358" t="s">
        <v>1404</v>
      </c>
      <c r="C885" s="360" t="s">
        <v>1405</v>
      </c>
      <c r="D885" s="361" t="s">
        <v>12</v>
      </c>
      <c r="E885" s="361" t="s">
        <v>1128</v>
      </c>
      <c r="F885" s="362">
        <v>6.5</v>
      </c>
      <c r="G885" s="359">
        <v>26.1</v>
      </c>
      <c r="H885" s="363">
        <f t="shared" ref="H885:H886" si="88">F885*G885</f>
        <v>169.65</v>
      </c>
    </row>
    <row r="886" spans="2:8" ht="25.5">
      <c r="B886" s="358" t="s">
        <v>1285</v>
      </c>
      <c r="C886" s="360" t="s">
        <v>1286</v>
      </c>
      <c r="D886" s="361" t="s">
        <v>12</v>
      </c>
      <c r="E886" s="361" t="s">
        <v>1128</v>
      </c>
      <c r="F886" s="362">
        <v>6.5</v>
      </c>
      <c r="G886" s="359">
        <v>19.39</v>
      </c>
      <c r="H886" s="363">
        <f t="shared" si="88"/>
        <v>126.035</v>
      </c>
    </row>
    <row r="887" spans="2:8">
      <c r="B887" s="699" t="s">
        <v>1231</v>
      </c>
      <c r="C887" s="700"/>
      <c r="D887" s="700"/>
      <c r="E887" s="700"/>
      <c r="F887" s="700"/>
      <c r="G887" s="701"/>
      <c r="H887" s="364">
        <f>SUM(H880:H886)</f>
        <v>6490.8290699999998</v>
      </c>
    </row>
    <row r="888" spans="2:8">
      <c r="B888" s="751"/>
      <c r="C888" s="752"/>
      <c r="D888" s="752"/>
      <c r="E888" s="752"/>
      <c r="F888" s="752"/>
      <c r="G888" s="752"/>
      <c r="H888" s="752"/>
    </row>
    <row r="889" spans="2:8" ht="38.25">
      <c r="B889" s="367" t="s">
        <v>2042</v>
      </c>
      <c r="C889" s="368" t="s">
        <v>1848</v>
      </c>
      <c r="D889" s="369" t="s">
        <v>12</v>
      </c>
      <c r="E889" s="369" t="s">
        <v>37</v>
      </c>
      <c r="F889" s="370"/>
      <c r="G889" s="356"/>
      <c r="H889" s="371"/>
    </row>
    <row r="890" spans="2:8" ht="51">
      <c r="B890" s="358" t="s">
        <v>1850</v>
      </c>
      <c r="C890" s="360" t="s">
        <v>1851</v>
      </c>
      <c r="D890" s="361" t="s">
        <v>401</v>
      </c>
      <c r="E890" s="361" t="s">
        <v>24</v>
      </c>
      <c r="F890" s="362">
        <v>3.3</v>
      </c>
      <c r="G890" s="359">
        <f>1090*1.2173</f>
        <v>1326.857</v>
      </c>
      <c r="H890" s="363">
        <f>F890*G890</f>
        <v>4378.6280999999999</v>
      </c>
    </row>
    <row r="891" spans="2:8" ht="25.5">
      <c r="B891" s="414">
        <v>15030002</v>
      </c>
      <c r="C891" s="360" t="s">
        <v>1852</v>
      </c>
      <c r="D891" s="361" t="s">
        <v>401</v>
      </c>
      <c r="E891" s="361" t="s">
        <v>37</v>
      </c>
      <c r="F891" s="362">
        <v>2</v>
      </c>
      <c r="G891" s="359">
        <f>283.47*1.2173</f>
        <v>345.06803100000002</v>
      </c>
      <c r="H891" s="363">
        <f>F891*G891</f>
        <v>690.13606200000004</v>
      </c>
    </row>
    <row r="892" spans="2:8" ht="25.5">
      <c r="B892" s="358" t="s">
        <v>1287</v>
      </c>
      <c r="C892" s="360" t="s">
        <v>1853</v>
      </c>
      <c r="D892" s="361" t="s">
        <v>401</v>
      </c>
      <c r="E892" s="361" t="s">
        <v>112</v>
      </c>
      <c r="F892" s="362">
        <v>8.2000000000000003E-2</v>
      </c>
      <c r="G892" s="359">
        <v>494.98</v>
      </c>
      <c r="H892" s="363">
        <f>F892*G892</f>
        <v>40.588360000000002</v>
      </c>
    </row>
    <row r="893" spans="2:8" ht="38.25">
      <c r="B893" s="358">
        <v>37591</v>
      </c>
      <c r="C893" s="360" t="s">
        <v>1574</v>
      </c>
      <c r="D893" s="361" t="s">
        <v>401</v>
      </c>
      <c r="E893" s="361" t="s">
        <v>37</v>
      </c>
      <c r="F893" s="362">
        <v>4</v>
      </c>
      <c r="G893" s="359">
        <v>27.95</v>
      </c>
      <c r="H893" s="363">
        <f>F893*G893</f>
        <v>111.8</v>
      </c>
    </row>
    <row r="894" spans="2:8" ht="25.5">
      <c r="B894" s="358" t="s">
        <v>1390</v>
      </c>
      <c r="C894" s="360" t="s">
        <v>1854</v>
      </c>
      <c r="D894" s="361" t="s">
        <v>12</v>
      </c>
      <c r="E894" s="361" t="s">
        <v>15</v>
      </c>
      <c r="F894" s="362">
        <v>3.7</v>
      </c>
      <c r="G894" s="359">
        <v>64.17</v>
      </c>
      <c r="H894" s="363">
        <f>F894*G894</f>
        <v>237.42900000000003</v>
      </c>
    </row>
    <row r="895" spans="2:8" ht="25.5">
      <c r="B895" s="358" t="s">
        <v>1404</v>
      </c>
      <c r="C895" s="360" t="s">
        <v>1405</v>
      </c>
      <c r="D895" s="361" t="s">
        <v>12</v>
      </c>
      <c r="E895" s="361" t="s">
        <v>1128</v>
      </c>
      <c r="F895" s="362">
        <v>3.8</v>
      </c>
      <c r="G895" s="359">
        <v>26.1</v>
      </c>
      <c r="H895" s="363">
        <f t="shared" ref="H895:H896" si="89">F895*G895</f>
        <v>99.18</v>
      </c>
    </row>
    <row r="896" spans="2:8" ht="25.5">
      <c r="B896" s="358" t="s">
        <v>1285</v>
      </c>
      <c r="C896" s="360" t="s">
        <v>1286</v>
      </c>
      <c r="D896" s="361" t="s">
        <v>12</v>
      </c>
      <c r="E896" s="361" t="s">
        <v>1128</v>
      </c>
      <c r="F896" s="362">
        <v>3.8</v>
      </c>
      <c r="G896" s="359">
        <v>19.39</v>
      </c>
      <c r="H896" s="363">
        <f t="shared" si="89"/>
        <v>73.682000000000002</v>
      </c>
    </row>
    <row r="897" spans="2:8">
      <c r="B897" s="699" t="s">
        <v>1231</v>
      </c>
      <c r="C897" s="700"/>
      <c r="D897" s="700"/>
      <c r="E897" s="700"/>
      <c r="F897" s="700"/>
      <c r="G897" s="701"/>
      <c r="H897" s="364">
        <f>SUM(H890:H896)</f>
        <v>5631.4435219999996</v>
      </c>
    </row>
    <row r="898" spans="2:8">
      <c r="B898" s="733"/>
      <c r="C898" s="734"/>
      <c r="D898" s="734"/>
      <c r="E898" s="734"/>
      <c r="F898" s="734"/>
      <c r="G898" s="734"/>
      <c r="H898" s="734"/>
    </row>
    <row r="899" spans="2:8" ht="51">
      <c r="B899" s="367" t="s">
        <v>2043</v>
      </c>
      <c r="C899" s="368" t="s">
        <v>541</v>
      </c>
      <c r="D899" s="369" t="s">
        <v>12</v>
      </c>
      <c r="E899" s="369" t="s">
        <v>75</v>
      </c>
      <c r="F899" s="370"/>
      <c r="G899" s="356"/>
      <c r="H899" s="371"/>
    </row>
    <row r="900" spans="2:8" ht="38.25">
      <c r="B900" s="358" t="s">
        <v>1297</v>
      </c>
      <c r="C900" s="360" t="s">
        <v>1298</v>
      </c>
      <c r="D900" s="361" t="s">
        <v>12</v>
      </c>
      <c r="E900" s="361" t="s">
        <v>1291</v>
      </c>
      <c r="F900" s="362" t="s">
        <v>1575</v>
      </c>
      <c r="G900" s="359">
        <v>260.88</v>
      </c>
      <c r="H900" s="363">
        <f>F900*G900</f>
        <v>2.0713871999999998</v>
      </c>
    </row>
    <row r="901" spans="2:8" ht="25.5">
      <c r="B901" s="358" t="s">
        <v>1285</v>
      </c>
      <c r="C901" s="360" t="s">
        <v>1286</v>
      </c>
      <c r="D901" s="361" t="s">
        <v>12</v>
      </c>
      <c r="E901" s="361" t="s">
        <v>1128</v>
      </c>
      <c r="F901" s="362" t="s">
        <v>1576</v>
      </c>
      <c r="G901" s="359">
        <v>19.39</v>
      </c>
      <c r="H901" s="363">
        <f>F901*G901</f>
        <v>0.13379099999999999</v>
      </c>
    </row>
    <row r="902" spans="2:8">
      <c r="B902" s="699" t="s">
        <v>1231</v>
      </c>
      <c r="C902" s="700"/>
      <c r="D902" s="700"/>
      <c r="E902" s="700"/>
      <c r="F902" s="700"/>
      <c r="G902" s="701"/>
      <c r="H902" s="364">
        <f>SUM(H900:H901)</f>
        <v>2.2051781999999998</v>
      </c>
    </row>
    <row r="903" spans="2:8">
      <c r="B903" s="711"/>
      <c r="C903" s="712"/>
      <c r="D903" s="712"/>
      <c r="E903" s="712"/>
      <c r="F903" s="712"/>
      <c r="G903" s="712"/>
      <c r="H903" s="713"/>
    </row>
    <row r="904" spans="2:8" ht="51">
      <c r="B904" s="367" t="s">
        <v>2044</v>
      </c>
      <c r="C904" s="368" t="s">
        <v>1859</v>
      </c>
      <c r="D904" s="369" t="s">
        <v>12</v>
      </c>
      <c r="E904" s="369" t="s">
        <v>37</v>
      </c>
      <c r="F904" s="370"/>
      <c r="G904" s="356"/>
      <c r="H904" s="371"/>
    </row>
    <row r="905" spans="2:8">
      <c r="B905" s="358">
        <v>36178</v>
      </c>
      <c r="C905" s="360" t="s">
        <v>1860</v>
      </c>
      <c r="D905" s="361" t="s">
        <v>401</v>
      </c>
      <c r="E905" s="361" t="s">
        <v>24</v>
      </c>
      <c r="F905" s="362">
        <v>0.3125</v>
      </c>
      <c r="G905" s="359">
        <v>14.14</v>
      </c>
      <c r="H905" s="363">
        <f>F905*G905</f>
        <v>4.4187500000000002</v>
      </c>
    </row>
    <row r="906" spans="2:8" ht="38.25">
      <c r="B906" s="358">
        <v>370</v>
      </c>
      <c r="C906" s="360" t="s">
        <v>1557</v>
      </c>
      <c r="D906" s="361" t="s">
        <v>401</v>
      </c>
      <c r="E906" s="361" t="s">
        <v>75</v>
      </c>
      <c r="F906" s="362">
        <v>0.34906999999999999</v>
      </c>
      <c r="G906" s="359">
        <v>207.93</v>
      </c>
      <c r="H906" s="363">
        <f t="shared" ref="H906:H917" si="90">F906*G906</f>
        <v>72.582125099999999</v>
      </c>
    </row>
    <row r="907" spans="2:8">
      <c r="B907" s="358">
        <v>4721</v>
      </c>
      <c r="C907" s="360" t="s">
        <v>2045</v>
      </c>
      <c r="D907" s="361" t="s">
        <v>401</v>
      </c>
      <c r="E907" s="361" t="s">
        <v>75</v>
      </c>
      <c r="F907" s="362">
        <v>0.38500000000000001</v>
      </c>
      <c r="G907" s="359">
        <v>185.74</v>
      </c>
      <c r="H907" s="363">
        <f t="shared" si="90"/>
        <v>71.509900000000002</v>
      </c>
    </row>
    <row r="908" spans="2:8">
      <c r="B908" s="358">
        <v>1379</v>
      </c>
      <c r="C908" s="360" t="s">
        <v>2046</v>
      </c>
      <c r="D908" s="361" t="s">
        <v>401</v>
      </c>
      <c r="E908" s="361" t="s">
        <v>112</v>
      </c>
      <c r="F908" s="362">
        <v>134.59</v>
      </c>
      <c r="G908" s="359">
        <v>0.66</v>
      </c>
      <c r="H908" s="363">
        <f t="shared" si="90"/>
        <v>88.829400000000007</v>
      </c>
    </row>
    <row r="909" spans="2:8">
      <c r="B909" s="358">
        <v>39016</v>
      </c>
      <c r="C909" s="360" t="s">
        <v>1861</v>
      </c>
      <c r="D909" s="361" t="s">
        <v>401</v>
      </c>
      <c r="E909" s="361" t="s">
        <v>37</v>
      </c>
      <c r="F909" s="362">
        <v>10</v>
      </c>
      <c r="G909" s="415">
        <v>0.36</v>
      </c>
      <c r="H909" s="363">
        <f t="shared" si="90"/>
        <v>3.5999999999999996</v>
      </c>
    </row>
    <row r="910" spans="2:8" ht="25.5">
      <c r="B910" s="358">
        <v>4062</v>
      </c>
      <c r="C910" s="360" t="s">
        <v>1862</v>
      </c>
      <c r="D910" s="361" t="s">
        <v>401</v>
      </c>
      <c r="E910" s="361" t="s">
        <v>37</v>
      </c>
      <c r="F910" s="362">
        <v>2.2000000000000002</v>
      </c>
      <c r="G910" s="415">
        <v>32.78</v>
      </c>
      <c r="H910" s="363">
        <f t="shared" si="90"/>
        <v>72.116000000000014</v>
      </c>
    </row>
    <row r="911" spans="2:8" ht="25.5">
      <c r="B911" s="358"/>
      <c r="C911" s="93" t="s">
        <v>1863</v>
      </c>
      <c r="D911" s="94" t="s">
        <v>12</v>
      </c>
      <c r="E911" s="94" t="s">
        <v>75</v>
      </c>
      <c r="F911" s="90">
        <v>2.1999999999999999E-2</v>
      </c>
      <c r="G911" s="359">
        <f>471.98*1.2173</f>
        <v>574.54125400000009</v>
      </c>
      <c r="H911" s="124">
        <f t="shared" si="90"/>
        <v>12.639907588000002</v>
      </c>
    </row>
    <row r="912" spans="2:8" ht="25.5">
      <c r="B912" s="358">
        <v>21141</v>
      </c>
      <c r="C912" s="360" t="s">
        <v>1864</v>
      </c>
      <c r="D912" s="361" t="s">
        <v>401</v>
      </c>
      <c r="E912" s="361" t="s">
        <v>112</v>
      </c>
      <c r="F912" s="362">
        <v>3.2559999999999998</v>
      </c>
      <c r="G912" s="359">
        <v>17.37</v>
      </c>
      <c r="H912" s="363">
        <f t="shared" si="90"/>
        <v>56.556719999999999</v>
      </c>
    </row>
    <row r="913" spans="2:8">
      <c r="B913" s="358">
        <v>43132</v>
      </c>
      <c r="C913" s="360" t="s">
        <v>2047</v>
      </c>
      <c r="D913" s="361" t="s">
        <v>401</v>
      </c>
      <c r="E913" s="361" t="s">
        <v>112</v>
      </c>
      <c r="F913" s="362">
        <v>7.4999999999999997E-2</v>
      </c>
      <c r="G913" s="359">
        <v>22.62</v>
      </c>
      <c r="H913" s="363">
        <f t="shared" si="90"/>
        <v>1.6965000000000001</v>
      </c>
    </row>
    <row r="914" spans="2:8">
      <c r="B914" s="358" t="s">
        <v>1332</v>
      </c>
      <c r="C914" s="360" t="s">
        <v>1865</v>
      </c>
      <c r="D914" s="361" t="s">
        <v>12</v>
      </c>
      <c r="E914" s="361" t="s">
        <v>1291</v>
      </c>
      <c r="F914" s="362">
        <v>2</v>
      </c>
      <c r="G914" s="359">
        <v>26.05</v>
      </c>
      <c r="H914" s="363">
        <f t="shared" si="90"/>
        <v>52.1</v>
      </c>
    </row>
    <row r="915" spans="2:8">
      <c r="B915" s="358">
        <v>88256</v>
      </c>
      <c r="C915" s="360" t="s">
        <v>1866</v>
      </c>
      <c r="D915" s="361" t="s">
        <v>12</v>
      </c>
      <c r="E915" s="361" t="s">
        <v>1291</v>
      </c>
      <c r="F915" s="362">
        <v>0.6</v>
      </c>
      <c r="G915" s="359">
        <v>26.1</v>
      </c>
      <c r="H915" s="363">
        <f t="shared" si="90"/>
        <v>15.66</v>
      </c>
    </row>
    <row r="916" spans="2:8">
      <c r="B916" s="358" t="s">
        <v>1337</v>
      </c>
      <c r="C916" s="360" t="s">
        <v>1867</v>
      </c>
      <c r="D916" s="361" t="s">
        <v>12</v>
      </c>
      <c r="E916" s="361" t="s">
        <v>1291</v>
      </c>
      <c r="F916" s="362">
        <v>12</v>
      </c>
      <c r="G916" s="359">
        <v>26.2</v>
      </c>
      <c r="H916" s="363">
        <f t="shared" si="90"/>
        <v>314.39999999999998</v>
      </c>
    </row>
    <row r="917" spans="2:8">
      <c r="B917" s="358" t="s">
        <v>1285</v>
      </c>
      <c r="C917" s="360" t="s">
        <v>2048</v>
      </c>
      <c r="D917" s="361" t="s">
        <v>12</v>
      </c>
      <c r="E917" s="361" t="s">
        <v>1128</v>
      </c>
      <c r="F917" s="362">
        <v>0.6</v>
      </c>
      <c r="G917" s="359">
        <v>19.39</v>
      </c>
      <c r="H917" s="363">
        <f t="shared" si="90"/>
        <v>11.634</v>
      </c>
    </row>
    <row r="918" spans="2:8">
      <c r="B918" s="699" t="s">
        <v>1231</v>
      </c>
      <c r="C918" s="700"/>
      <c r="D918" s="700"/>
      <c r="E918" s="700"/>
      <c r="F918" s="700"/>
      <c r="G918" s="701"/>
      <c r="H918" s="364">
        <f>SUM(H905:H917)</f>
        <v>777.74330268800009</v>
      </c>
    </row>
    <row r="919" spans="2:8">
      <c r="B919" s="738"/>
      <c r="C919" s="739"/>
      <c r="D919" s="739"/>
      <c r="E919" s="739"/>
      <c r="F919" s="739"/>
      <c r="G919" s="739"/>
      <c r="H919" s="739"/>
    </row>
    <row r="920" spans="2:8" ht="25.5">
      <c r="B920" s="367" t="s">
        <v>2049</v>
      </c>
      <c r="C920" s="368" t="s">
        <v>606</v>
      </c>
      <c r="D920" s="369" t="s">
        <v>12</v>
      </c>
      <c r="E920" s="369" t="s">
        <v>37</v>
      </c>
      <c r="F920" s="370"/>
      <c r="G920" s="356"/>
      <c r="H920" s="371"/>
    </row>
    <row r="921" spans="2:8">
      <c r="B921" s="358">
        <v>88248</v>
      </c>
      <c r="C921" s="360" t="s">
        <v>1242</v>
      </c>
      <c r="D921" s="361" t="s">
        <v>1228</v>
      </c>
      <c r="E921" s="361" t="s">
        <v>1128</v>
      </c>
      <c r="F921" s="362" t="s">
        <v>1509</v>
      </c>
      <c r="G921" s="359">
        <v>20.100000000000001</v>
      </c>
      <c r="H921" s="363">
        <f>F921*G921</f>
        <v>3.6180000000000003</v>
      </c>
    </row>
    <row r="922" spans="2:8">
      <c r="B922" s="358">
        <v>88267</v>
      </c>
      <c r="C922" s="360" t="s">
        <v>1244</v>
      </c>
      <c r="D922" s="361" t="s">
        <v>1228</v>
      </c>
      <c r="E922" s="361" t="s">
        <v>1128</v>
      </c>
      <c r="F922" s="362" t="s">
        <v>1509</v>
      </c>
      <c r="G922" s="359">
        <v>25.58</v>
      </c>
      <c r="H922" s="363">
        <f t="shared" ref="H922:H926" si="91">F922*G922</f>
        <v>4.6043999999999992</v>
      </c>
    </row>
    <row r="923" spans="2:8" ht="25.5">
      <c r="B923" s="358" t="s">
        <v>1581</v>
      </c>
      <c r="C923" s="360" t="s">
        <v>1582</v>
      </c>
      <c r="D923" s="361" t="s">
        <v>401</v>
      </c>
      <c r="E923" s="361" t="s">
        <v>37</v>
      </c>
      <c r="F923" s="269">
        <v>1.0142180089999999</v>
      </c>
      <c r="G923" s="359">
        <f>6.33*1.2173</f>
        <v>7.7055090000000002</v>
      </c>
      <c r="H923" s="363">
        <f t="shared" si="91"/>
        <v>7.8150659963115805</v>
      </c>
    </row>
    <row r="924" spans="2:8">
      <c r="B924" s="358">
        <v>20083</v>
      </c>
      <c r="C924" s="360" t="s">
        <v>1583</v>
      </c>
      <c r="D924" s="361" t="s">
        <v>401</v>
      </c>
      <c r="E924" s="361" t="s">
        <v>1293</v>
      </c>
      <c r="F924" s="362" t="s">
        <v>1344</v>
      </c>
      <c r="G924" s="359">
        <v>82.38</v>
      </c>
      <c r="H924" s="363">
        <f t="shared" si="91"/>
        <v>0.32951999999999998</v>
      </c>
    </row>
    <row r="925" spans="2:8">
      <c r="B925" s="358">
        <v>122</v>
      </c>
      <c r="C925" s="360" t="s">
        <v>1252</v>
      </c>
      <c r="D925" s="361" t="s">
        <v>401</v>
      </c>
      <c r="E925" s="361" t="s">
        <v>112</v>
      </c>
      <c r="F925" s="362" t="s">
        <v>1584</v>
      </c>
      <c r="G925" s="359">
        <v>72.709999999999994</v>
      </c>
      <c r="H925" s="363">
        <f t="shared" si="91"/>
        <v>0.15996199999999999</v>
      </c>
    </row>
    <row r="926" spans="2:8" ht="25.5">
      <c r="B926" s="358">
        <v>3148</v>
      </c>
      <c r="C926" s="360" t="s">
        <v>1254</v>
      </c>
      <c r="D926" s="361" t="s">
        <v>401</v>
      </c>
      <c r="E926" s="361" t="s">
        <v>37</v>
      </c>
      <c r="F926" s="362">
        <v>5.5599999999999998E-3</v>
      </c>
      <c r="G926" s="359">
        <v>15.3</v>
      </c>
      <c r="H926" s="363">
        <f t="shared" si="91"/>
        <v>8.5068000000000005E-2</v>
      </c>
    </row>
    <row r="927" spans="2:8">
      <c r="B927" s="717" t="s">
        <v>1231</v>
      </c>
      <c r="C927" s="718"/>
      <c r="D927" s="718"/>
      <c r="E927" s="718"/>
      <c r="F927" s="718"/>
      <c r="G927" s="719"/>
      <c r="H927" s="125">
        <f>SUM(H921:H926)</f>
        <v>16.61201599631158</v>
      </c>
    </row>
    <row r="928" spans="2:8">
      <c r="B928" s="726"/>
      <c r="C928" s="727"/>
      <c r="D928" s="727"/>
      <c r="E928" s="727"/>
      <c r="F928" s="727"/>
      <c r="G928" s="727"/>
      <c r="H928" s="728"/>
    </row>
    <row r="929" spans="2:8" ht="25.5">
      <c r="B929" s="367" t="s">
        <v>2050</v>
      </c>
      <c r="C929" s="118" t="s">
        <v>608</v>
      </c>
      <c r="D929" s="119" t="s">
        <v>12</v>
      </c>
      <c r="E929" s="119" t="s">
        <v>37</v>
      </c>
      <c r="F929" s="120"/>
      <c r="G929" s="121"/>
      <c r="H929" s="122"/>
    </row>
    <row r="930" spans="2:8">
      <c r="B930" s="358">
        <v>88248</v>
      </c>
      <c r="C930" s="360" t="s">
        <v>1242</v>
      </c>
      <c r="D930" s="361" t="s">
        <v>1228</v>
      </c>
      <c r="E930" s="361" t="s">
        <v>1128</v>
      </c>
      <c r="F930" s="362" t="s">
        <v>1585</v>
      </c>
      <c r="G930" s="359">
        <v>20.100000000000001</v>
      </c>
      <c r="H930" s="363">
        <f>F930*G930</f>
        <v>1.8090000000000002</v>
      </c>
    </row>
    <row r="931" spans="2:8">
      <c r="B931" s="358">
        <v>88267</v>
      </c>
      <c r="C931" s="360" t="s">
        <v>1244</v>
      </c>
      <c r="D931" s="361" t="s">
        <v>1228</v>
      </c>
      <c r="E931" s="361" t="s">
        <v>1128</v>
      </c>
      <c r="F931" s="362" t="s">
        <v>1585</v>
      </c>
      <c r="G931" s="359">
        <v>25.58</v>
      </c>
      <c r="H931" s="363">
        <f t="shared" ref="H931:H934" si="92">F931*G931</f>
        <v>2.3021999999999996</v>
      </c>
    </row>
    <row r="932" spans="2:8">
      <c r="B932" s="358">
        <v>20083</v>
      </c>
      <c r="C932" s="360" t="s">
        <v>1583</v>
      </c>
      <c r="D932" s="361" t="s">
        <v>401</v>
      </c>
      <c r="E932" s="361" t="s">
        <v>1293</v>
      </c>
      <c r="F932" s="362" t="s">
        <v>1586</v>
      </c>
      <c r="G932" s="359">
        <v>82.38</v>
      </c>
      <c r="H932" s="363">
        <f t="shared" si="92"/>
        <v>0.78260999999999992</v>
      </c>
    </row>
    <row r="933" spans="2:8" ht="25.5">
      <c r="B933" s="358" t="s">
        <v>1587</v>
      </c>
      <c r="C933" s="360" t="s">
        <v>1588</v>
      </c>
      <c r="D933" s="361" t="s">
        <v>401</v>
      </c>
      <c r="E933" s="361" t="s">
        <v>37</v>
      </c>
      <c r="F933" s="362">
        <v>1.013605442</v>
      </c>
      <c r="G933" s="359">
        <f>1.47*1.2173</f>
        <v>1.789431</v>
      </c>
      <c r="H933" s="363">
        <f t="shared" si="92"/>
        <v>1.813776999683502</v>
      </c>
    </row>
    <row r="934" spans="2:8">
      <c r="B934" s="358">
        <v>122</v>
      </c>
      <c r="C934" s="360" t="s">
        <v>1252</v>
      </c>
      <c r="D934" s="361" t="s">
        <v>401</v>
      </c>
      <c r="E934" s="361" t="s">
        <v>112</v>
      </c>
      <c r="F934" s="362">
        <v>5.28E-3</v>
      </c>
      <c r="G934" s="359">
        <v>72.709999999999994</v>
      </c>
      <c r="H934" s="363">
        <f t="shared" si="92"/>
        <v>0.38390879999999994</v>
      </c>
    </row>
    <row r="935" spans="2:8">
      <c r="B935" s="699" t="s">
        <v>1231</v>
      </c>
      <c r="C935" s="700"/>
      <c r="D935" s="700"/>
      <c r="E935" s="700"/>
      <c r="F935" s="700"/>
      <c r="G935" s="701"/>
      <c r="H935" s="364">
        <f>SUM(H930:H934)</f>
        <v>7.0914957996835017</v>
      </c>
    </row>
    <row r="936" spans="2:8">
      <c r="B936" s="702"/>
      <c r="C936" s="703"/>
      <c r="D936" s="703"/>
      <c r="E936" s="703"/>
      <c r="F936" s="703"/>
      <c r="G936" s="703"/>
      <c r="H936" s="704"/>
    </row>
    <row r="937" spans="2:8" ht="25.5">
      <c r="B937" s="367" t="s">
        <v>2051</v>
      </c>
      <c r="C937" s="368" t="s">
        <v>609</v>
      </c>
      <c r="D937" s="369" t="s">
        <v>12</v>
      </c>
      <c r="E937" s="369" t="s">
        <v>37</v>
      </c>
      <c r="F937" s="370"/>
      <c r="G937" s="356"/>
      <c r="H937" s="371"/>
    </row>
    <row r="938" spans="2:8">
      <c r="B938" s="358">
        <v>88248</v>
      </c>
      <c r="C938" s="360" t="s">
        <v>1242</v>
      </c>
      <c r="D938" s="361" t="s">
        <v>1228</v>
      </c>
      <c r="E938" s="361" t="s">
        <v>1128</v>
      </c>
      <c r="F938" s="362" t="s">
        <v>1589</v>
      </c>
      <c r="G938" s="359">
        <v>20.100000000000001</v>
      </c>
      <c r="H938" s="363">
        <f>F938*G938</f>
        <v>2.8140000000000005</v>
      </c>
    </row>
    <row r="939" spans="2:8">
      <c r="B939" s="358">
        <v>88267</v>
      </c>
      <c r="C939" s="360" t="s">
        <v>1244</v>
      </c>
      <c r="D939" s="361" t="s">
        <v>1228</v>
      </c>
      <c r="E939" s="361" t="s">
        <v>1128</v>
      </c>
      <c r="F939" s="362" t="s">
        <v>1589</v>
      </c>
      <c r="G939" s="359">
        <v>25.58</v>
      </c>
      <c r="H939" s="363">
        <f t="shared" ref="H939:H942" si="93">F939*G939</f>
        <v>3.5811999999999999</v>
      </c>
    </row>
    <row r="940" spans="2:8">
      <c r="B940" s="358">
        <v>20083</v>
      </c>
      <c r="C940" s="360" t="s">
        <v>1583</v>
      </c>
      <c r="D940" s="361" t="s">
        <v>401</v>
      </c>
      <c r="E940" s="361" t="s">
        <v>1293</v>
      </c>
      <c r="F940" s="362" t="s">
        <v>1590</v>
      </c>
      <c r="G940" s="359">
        <v>82.38</v>
      </c>
      <c r="H940" s="363">
        <f t="shared" si="93"/>
        <v>1.0297499999999999</v>
      </c>
    </row>
    <row r="941" spans="2:8" ht="25.5">
      <c r="B941" s="358" t="s">
        <v>1591</v>
      </c>
      <c r="C941" s="360" t="s">
        <v>1592</v>
      </c>
      <c r="D941" s="361" t="s">
        <v>401</v>
      </c>
      <c r="E941" s="361" t="s">
        <v>37</v>
      </c>
      <c r="F941" s="362">
        <v>1.012121212</v>
      </c>
      <c r="G941" s="359">
        <f>1.65*1.2173</f>
        <v>2.0085449999999998</v>
      </c>
      <c r="H941" s="363">
        <f t="shared" si="93"/>
        <v>2.0328909997565399</v>
      </c>
    </row>
    <row r="942" spans="2:8">
      <c r="B942" s="358">
        <v>122</v>
      </c>
      <c r="C942" s="360" t="s">
        <v>1252</v>
      </c>
      <c r="D942" s="361" t="s">
        <v>401</v>
      </c>
      <c r="E942" s="361" t="s">
        <v>112</v>
      </c>
      <c r="F942" s="362" t="s">
        <v>1593</v>
      </c>
      <c r="G942" s="359">
        <v>72.709999999999994</v>
      </c>
      <c r="H942" s="363">
        <f t="shared" si="93"/>
        <v>0.54387079999999988</v>
      </c>
    </row>
    <row r="943" spans="2:8">
      <c r="B943" s="699" t="s">
        <v>1231</v>
      </c>
      <c r="C943" s="700"/>
      <c r="D943" s="700"/>
      <c r="E943" s="700"/>
      <c r="F943" s="700"/>
      <c r="G943" s="701"/>
      <c r="H943" s="364">
        <f>SUM(H938:H942)</f>
        <v>10.001711799756542</v>
      </c>
    </row>
    <row r="944" spans="2:8">
      <c r="B944" s="711"/>
      <c r="C944" s="712"/>
      <c r="D944" s="712"/>
      <c r="E944" s="712"/>
      <c r="F944" s="712"/>
      <c r="G944" s="712"/>
      <c r="H944" s="713"/>
    </row>
    <row r="945" spans="2:8" ht="25.5">
      <c r="B945" s="367" t="s">
        <v>2052</v>
      </c>
      <c r="C945" s="368" t="s">
        <v>610</v>
      </c>
      <c r="D945" s="369" t="s">
        <v>12</v>
      </c>
      <c r="E945" s="369" t="s">
        <v>37</v>
      </c>
      <c r="F945" s="370"/>
      <c r="G945" s="356"/>
      <c r="H945" s="371"/>
    </row>
    <row r="946" spans="2:8">
      <c r="B946" s="358">
        <v>88248</v>
      </c>
      <c r="C946" s="360" t="s">
        <v>1242</v>
      </c>
      <c r="D946" s="361" t="s">
        <v>1228</v>
      </c>
      <c r="E946" s="361" t="s">
        <v>1128</v>
      </c>
      <c r="F946" s="362" t="s">
        <v>1594</v>
      </c>
      <c r="G946" s="359">
        <v>20.100000000000001</v>
      </c>
      <c r="H946" s="363">
        <f>F946*G946</f>
        <v>3.4170000000000007</v>
      </c>
    </row>
    <row r="947" spans="2:8">
      <c r="B947" s="358">
        <v>88267</v>
      </c>
      <c r="C947" s="360" t="s">
        <v>1244</v>
      </c>
      <c r="D947" s="361" t="s">
        <v>1228</v>
      </c>
      <c r="E947" s="361" t="s">
        <v>1128</v>
      </c>
      <c r="F947" s="362" t="s">
        <v>1594</v>
      </c>
      <c r="G947" s="359">
        <v>25.58</v>
      </c>
      <c r="H947" s="363">
        <f t="shared" ref="H947:H950" si="94">F947*G947</f>
        <v>4.3486000000000002</v>
      </c>
    </row>
    <row r="948" spans="2:8">
      <c r="B948" s="358">
        <v>20083</v>
      </c>
      <c r="C948" s="360" t="s">
        <v>1583</v>
      </c>
      <c r="D948" s="361" t="s">
        <v>401</v>
      </c>
      <c r="E948" s="361" t="s">
        <v>1293</v>
      </c>
      <c r="F948" s="362" t="s">
        <v>1595</v>
      </c>
      <c r="G948" s="359">
        <v>82.38</v>
      </c>
      <c r="H948" s="363">
        <f t="shared" si="94"/>
        <v>1.252176</v>
      </c>
    </row>
    <row r="949" spans="2:8" ht="25.5">
      <c r="B949" s="358" t="s">
        <v>1596</v>
      </c>
      <c r="C949" s="360" t="s">
        <v>1597</v>
      </c>
      <c r="D949" s="361" t="s">
        <v>401</v>
      </c>
      <c r="E949" s="361" t="s">
        <v>37</v>
      </c>
      <c r="F949" s="362">
        <v>1.0160427809999999</v>
      </c>
      <c r="G949" s="359">
        <f>3.74*1.2173</f>
        <v>4.552702</v>
      </c>
      <c r="H949" s="363">
        <f t="shared" si="94"/>
        <v>4.625740001144262</v>
      </c>
    </row>
    <row r="950" spans="2:8">
      <c r="B950" s="358">
        <v>122</v>
      </c>
      <c r="C950" s="360" t="s">
        <v>1252</v>
      </c>
      <c r="D950" s="361" t="s">
        <v>401</v>
      </c>
      <c r="E950" s="361" t="s">
        <v>112</v>
      </c>
      <c r="F950" s="362" t="s">
        <v>1598</v>
      </c>
      <c r="G950" s="359">
        <v>72.709999999999994</v>
      </c>
      <c r="H950" s="363">
        <f t="shared" si="94"/>
        <v>0.84343599999999985</v>
      </c>
    </row>
    <row r="951" spans="2:8">
      <c r="B951" s="699" t="s">
        <v>1231</v>
      </c>
      <c r="C951" s="700"/>
      <c r="D951" s="700"/>
      <c r="E951" s="700"/>
      <c r="F951" s="700"/>
      <c r="G951" s="701"/>
      <c r="H951" s="364">
        <f>SUM(H946:H950)</f>
        <v>14.486952001144264</v>
      </c>
    </row>
    <row r="952" spans="2:8">
      <c r="B952" s="702"/>
      <c r="C952" s="703"/>
      <c r="D952" s="703"/>
      <c r="E952" s="703"/>
      <c r="F952" s="703"/>
      <c r="G952" s="703"/>
      <c r="H952" s="704"/>
    </row>
    <row r="953" spans="2:8" ht="64.5" customHeight="1">
      <c r="B953" s="367" t="s">
        <v>2053</v>
      </c>
      <c r="C953" s="368" t="s">
        <v>665</v>
      </c>
      <c r="D953" s="369" t="s">
        <v>12</v>
      </c>
      <c r="E953" s="369" t="s">
        <v>37</v>
      </c>
      <c r="F953" s="370"/>
      <c r="G953" s="356"/>
      <c r="H953" s="371"/>
    </row>
    <row r="954" spans="2:8" ht="15" customHeight="1">
      <c r="B954" s="358">
        <v>88248</v>
      </c>
      <c r="C954" s="360" t="s">
        <v>1242</v>
      </c>
      <c r="D954" s="361" t="s">
        <v>1228</v>
      </c>
      <c r="E954" s="361" t="s">
        <v>1128</v>
      </c>
      <c r="F954" s="362">
        <v>3.3007633589999998</v>
      </c>
      <c r="G954" s="359">
        <v>20.100000000000001</v>
      </c>
      <c r="H954" s="363">
        <f>F954*G954</f>
        <v>66.345343515899998</v>
      </c>
    </row>
    <row r="955" spans="2:8" ht="15" customHeight="1">
      <c r="B955" s="358">
        <v>88267</v>
      </c>
      <c r="C955" s="360" t="s">
        <v>1244</v>
      </c>
      <c r="D955" s="361" t="s">
        <v>1228</v>
      </c>
      <c r="E955" s="361" t="s">
        <v>1128</v>
      </c>
      <c r="F955" s="362">
        <v>3.2998745289999998</v>
      </c>
      <c r="G955" s="359">
        <v>25.58</v>
      </c>
      <c r="H955" s="363">
        <f t="shared" ref="H955:H968" si="95">F955*G955</f>
        <v>84.410790451819992</v>
      </c>
    </row>
    <row r="956" spans="2:8" ht="15" customHeight="1">
      <c r="B956" s="358">
        <v>88309</v>
      </c>
      <c r="C956" s="360" t="s">
        <v>1245</v>
      </c>
      <c r="D956" s="361" t="s">
        <v>1228</v>
      </c>
      <c r="E956" s="361" t="s">
        <v>1128</v>
      </c>
      <c r="F956" s="362">
        <v>1</v>
      </c>
      <c r="G956" s="359">
        <v>26.2</v>
      </c>
      <c r="H956" s="363">
        <f t="shared" si="95"/>
        <v>26.2</v>
      </c>
    </row>
    <row r="957" spans="2:8" ht="15" customHeight="1">
      <c r="B957" s="358">
        <v>88316</v>
      </c>
      <c r="C957" s="360" t="s">
        <v>1246</v>
      </c>
      <c r="D957" s="361" t="s">
        <v>1228</v>
      </c>
      <c r="E957" s="361" t="s">
        <v>1128</v>
      </c>
      <c r="F957" s="362">
        <v>1</v>
      </c>
      <c r="G957" s="359">
        <v>19.39</v>
      </c>
      <c r="H957" s="363">
        <f t="shared" si="95"/>
        <v>19.39</v>
      </c>
    </row>
    <row r="958" spans="2:8" ht="25.5" customHeight="1">
      <c r="B958" s="358">
        <v>3148</v>
      </c>
      <c r="C958" s="360" t="s">
        <v>2054</v>
      </c>
      <c r="D958" s="361" t="s">
        <v>401</v>
      </c>
      <c r="E958" s="361" t="s">
        <v>37</v>
      </c>
      <c r="F958" s="362">
        <v>2.08623E-2</v>
      </c>
      <c r="G958" s="359">
        <v>15.3</v>
      </c>
      <c r="H958" s="363">
        <f t="shared" si="95"/>
        <v>0.31919319000000002</v>
      </c>
    </row>
    <row r="959" spans="2:8" ht="25.5" customHeight="1">
      <c r="B959" s="358">
        <v>38643</v>
      </c>
      <c r="C959" s="360" t="s">
        <v>2055</v>
      </c>
      <c r="D959" s="361" t="s">
        <v>401</v>
      </c>
      <c r="E959" s="361" t="s">
        <v>37</v>
      </c>
      <c r="F959" s="362">
        <v>1</v>
      </c>
      <c r="G959" s="359">
        <v>35.6</v>
      </c>
      <c r="H959" s="363">
        <f t="shared" si="95"/>
        <v>35.6</v>
      </c>
    </row>
    <row r="960" spans="2:8" ht="15" customHeight="1">
      <c r="B960" s="358">
        <v>6141</v>
      </c>
      <c r="C960" s="360" t="s">
        <v>1601</v>
      </c>
      <c r="D960" s="361" t="s">
        <v>401</v>
      </c>
      <c r="E960" s="361" t="s">
        <v>37</v>
      </c>
      <c r="F960" s="362">
        <v>1</v>
      </c>
      <c r="G960" s="359">
        <v>5.72</v>
      </c>
      <c r="H960" s="363">
        <f t="shared" si="95"/>
        <v>5.72</v>
      </c>
    </row>
    <row r="961" spans="2:8" ht="15" customHeight="1">
      <c r="B961" s="358">
        <v>11683</v>
      </c>
      <c r="C961" s="360" t="s">
        <v>1602</v>
      </c>
      <c r="D961" s="361" t="s">
        <v>401</v>
      </c>
      <c r="E961" s="361" t="s">
        <v>37</v>
      </c>
      <c r="F961" s="362">
        <v>1</v>
      </c>
      <c r="G961" s="359">
        <v>32.659999999999997</v>
      </c>
      <c r="H961" s="363">
        <f t="shared" si="95"/>
        <v>32.659999999999997</v>
      </c>
    </row>
    <row r="962" spans="2:8" ht="25.5" customHeight="1">
      <c r="B962" s="358" t="s">
        <v>1603</v>
      </c>
      <c r="C962" s="360" t="s">
        <v>1604</v>
      </c>
      <c r="D962" s="361" t="s">
        <v>401</v>
      </c>
      <c r="E962" s="361" t="s">
        <v>37</v>
      </c>
      <c r="F962" s="362">
        <v>1</v>
      </c>
      <c r="G962" s="359">
        <f>122.2*1.2173</f>
        <v>148.75406000000001</v>
      </c>
      <c r="H962" s="363">
        <f t="shared" si="95"/>
        <v>148.75406000000001</v>
      </c>
    </row>
    <row r="963" spans="2:8" ht="25.5" customHeight="1">
      <c r="B963" s="358" t="s">
        <v>2056</v>
      </c>
      <c r="C963" s="360" t="s">
        <v>1605</v>
      </c>
      <c r="D963" s="361" t="s">
        <v>401</v>
      </c>
      <c r="E963" s="361" t="s">
        <v>37</v>
      </c>
      <c r="F963" s="362">
        <v>1</v>
      </c>
      <c r="G963" s="359">
        <f>208.23*1.2173</f>
        <v>253.47837899999999</v>
      </c>
      <c r="H963" s="363">
        <f t="shared" si="95"/>
        <v>253.47837899999999</v>
      </c>
    </row>
    <row r="964" spans="2:8" ht="25.5" customHeight="1">
      <c r="B964" s="358">
        <v>6136</v>
      </c>
      <c r="C964" s="360" t="s">
        <v>2057</v>
      </c>
      <c r="D964" s="361" t="s">
        <v>401</v>
      </c>
      <c r="E964" s="361" t="s">
        <v>37</v>
      </c>
      <c r="F964" s="362">
        <v>1</v>
      </c>
      <c r="G964" s="359">
        <v>142.41999999999999</v>
      </c>
      <c r="H964" s="363">
        <f t="shared" si="95"/>
        <v>142.41999999999999</v>
      </c>
    </row>
    <row r="965" spans="2:8" ht="51">
      <c r="B965" s="358" t="s">
        <v>1606</v>
      </c>
      <c r="C965" s="360" t="s">
        <v>1607</v>
      </c>
      <c r="D965" s="361" t="s">
        <v>401</v>
      </c>
      <c r="E965" s="361" t="s">
        <v>37</v>
      </c>
      <c r="F965" s="362">
        <v>1</v>
      </c>
      <c r="G965" s="359">
        <f>1308.03*1.2173</f>
        <v>1592.264919</v>
      </c>
      <c r="H965" s="363">
        <f t="shared" si="95"/>
        <v>1592.264919</v>
      </c>
    </row>
    <row r="966" spans="2:8" ht="25.5">
      <c r="B966" s="358">
        <v>11769</v>
      </c>
      <c r="C966" s="360" t="s">
        <v>2058</v>
      </c>
      <c r="D966" s="361" t="s">
        <v>401</v>
      </c>
      <c r="E966" s="361" t="s">
        <v>37</v>
      </c>
      <c r="F966" s="362">
        <v>1</v>
      </c>
      <c r="G966" s="359">
        <v>302.49</v>
      </c>
      <c r="H966" s="363">
        <f t="shared" si="95"/>
        <v>302.49</v>
      </c>
    </row>
    <row r="967" spans="2:8">
      <c r="B967" s="358" t="s">
        <v>1608</v>
      </c>
      <c r="C967" s="360" t="s">
        <v>1609</v>
      </c>
      <c r="D967" s="361" t="s">
        <v>401</v>
      </c>
      <c r="E967" s="361" t="s">
        <v>37</v>
      </c>
      <c r="F967" s="362">
        <v>2</v>
      </c>
      <c r="G967" s="359">
        <f>2.25*1.2173</f>
        <v>2.7389250000000001</v>
      </c>
      <c r="H967" s="363">
        <f t="shared" si="95"/>
        <v>5.4778500000000001</v>
      </c>
    </row>
    <row r="968" spans="2:8" ht="15" customHeight="1">
      <c r="B968" s="358" t="s">
        <v>1610</v>
      </c>
      <c r="C968" s="360" t="s">
        <v>1611</v>
      </c>
      <c r="D968" s="361" t="s">
        <v>401</v>
      </c>
      <c r="E968" s="361" t="s">
        <v>37</v>
      </c>
      <c r="F968" s="362">
        <v>6</v>
      </c>
      <c r="G968" s="359">
        <f>2.28*1.2173</f>
        <v>2.7754439999999998</v>
      </c>
      <c r="H968" s="363">
        <f t="shared" si="95"/>
        <v>16.652663999999998</v>
      </c>
    </row>
    <row r="969" spans="2:8" ht="15" customHeight="1">
      <c r="B969" s="699" t="s">
        <v>1231</v>
      </c>
      <c r="C969" s="700"/>
      <c r="D969" s="700"/>
      <c r="E969" s="700"/>
      <c r="F969" s="700"/>
      <c r="G969" s="701"/>
      <c r="H969" s="364">
        <f>SUM(H954:H968)</f>
        <v>2732.1831991577201</v>
      </c>
    </row>
    <row r="970" spans="2:8" ht="15" customHeight="1">
      <c r="B970" s="702"/>
      <c r="C970" s="703"/>
      <c r="D970" s="703"/>
      <c r="E970" s="703"/>
      <c r="F970" s="703"/>
      <c r="G970" s="703"/>
      <c r="H970" s="704"/>
    </row>
    <row r="971" spans="2:8" ht="93.75" customHeight="1">
      <c r="B971" s="367" t="s">
        <v>2059</v>
      </c>
      <c r="C971" s="368" t="s">
        <v>666</v>
      </c>
      <c r="D971" s="369" t="s">
        <v>12</v>
      </c>
      <c r="E971" s="369" t="s">
        <v>37</v>
      </c>
      <c r="F971" s="370"/>
      <c r="G971" s="356"/>
      <c r="H971" s="371"/>
    </row>
    <row r="972" spans="2:8" ht="25.5" customHeight="1">
      <c r="B972" s="358">
        <v>10432</v>
      </c>
      <c r="C972" s="360" t="s">
        <v>1612</v>
      </c>
      <c r="D972" s="361" t="s">
        <v>401</v>
      </c>
      <c r="E972" s="361" t="s">
        <v>37</v>
      </c>
      <c r="F972" s="362">
        <v>1</v>
      </c>
      <c r="G972" s="359">
        <v>339.25</v>
      </c>
      <c r="H972" s="363">
        <f>F972*G972</f>
        <v>339.25</v>
      </c>
    </row>
    <row r="973" spans="2:8" ht="25.5">
      <c r="B973" s="358">
        <v>11683</v>
      </c>
      <c r="C973" s="360" t="s">
        <v>1613</v>
      </c>
      <c r="D973" s="361" t="s">
        <v>401</v>
      </c>
      <c r="E973" s="361" t="s">
        <v>37</v>
      </c>
      <c r="F973" s="362">
        <v>1</v>
      </c>
      <c r="G973" s="359">
        <v>32.659999999999997</v>
      </c>
      <c r="H973" s="363">
        <f t="shared" ref="H973:H978" si="96">F973*G973</f>
        <v>32.659999999999997</v>
      </c>
    </row>
    <row r="974" spans="2:8" ht="25.5" customHeight="1">
      <c r="B974" s="358">
        <v>3146</v>
      </c>
      <c r="C974" s="360" t="s">
        <v>1614</v>
      </c>
      <c r="D974" s="361" t="s">
        <v>401</v>
      </c>
      <c r="E974" s="361" t="s">
        <v>37</v>
      </c>
      <c r="F974" s="362" t="s">
        <v>1577</v>
      </c>
      <c r="G974" s="359">
        <v>4.1500000000000004</v>
      </c>
      <c r="H974" s="363">
        <f t="shared" si="96"/>
        <v>0.31540000000000001</v>
      </c>
    </row>
    <row r="975" spans="2:8" ht="63.75">
      <c r="B975" s="358">
        <v>4351</v>
      </c>
      <c r="C975" s="360" t="s">
        <v>1615</v>
      </c>
      <c r="D975" s="361" t="s">
        <v>401</v>
      </c>
      <c r="E975" s="361" t="s">
        <v>37</v>
      </c>
      <c r="F975" s="362">
        <v>2</v>
      </c>
      <c r="G975" s="359">
        <v>18.559999999999999</v>
      </c>
      <c r="H975" s="363">
        <f t="shared" si="96"/>
        <v>37.119999999999997</v>
      </c>
    </row>
    <row r="976" spans="2:8" ht="42.75" customHeight="1">
      <c r="B976" s="358">
        <v>6021</v>
      </c>
      <c r="C976" s="360" t="s">
        <v>1616</v>
      </c>
      <c r="D976" s="361" t="s">
        <v>401</v>
      </c>
      <c r="E976" s="361" t="s">
        <v>37</v>
      </c>
      <c r="F976" s="362">
        <v>1</v>
      </c>
      <c r="G976" s="359">
        <v>86.68</v>
      </c>
      <c r="H976" s="363">
        <f t="shared" si="96"/>
        <v>86.68</v>
      </c>
    </row>
    <row r="977" spans="2:8" ht="38.25">
      <c r="B977" s="358" t="s">
        <v>1374</v>
      </c>
      <c r="C977" s="360" t="s">
        <v>1375</v>
      </c>
      <c r="D977" s="361" t="s">
        <v>12</v>
      </c>
      <c r="E977" s="361" t="s">
        <v>1128</v>
      </c>
      <c r="F977" s="362">
        <v>3.1998175190000002</v>
      </c>
      <c r="G977" s="359">
        <v>20.100000000000001</v>
      </c>
      <c r="H977" s="363">
        <f t="shared" si="96"/>
        <v>64.316332131900012</v>
      </c>
    </row>
    <row r="978" spans="2:8" ht="39.75" customHeight="1">
      <c r="B978" s="358" t="s">
        <v>1376</v>
      </c>
      <c r="C978" s="360" t="s">
        <v>1377</v>
      </c>
      <c r="D978" s="361" t="s">
        <v>12</v>
      </c>
      <c r="E978" s="361" t="s">
        <v>1128</v>
      </c>
      <c r="F978" s="362">
        <v>3.2001510569999998</v>
      </c>
      <c r="G978" s="359">
        <v>25.58</v>
      </c>
      <c r="H978" s="363">
        <f t="shared" si="96"/>
        <v>81.859864038059996</v>
      </c>
    </row>
    <row r="979" spans="2:8" ht="15" customHeight="1">
      <c r="B979" s="699" t="s">
        <v>1231</v>
      </c>
      <c r="C979" s="700"/>
      <c r="D979" s="700"/>
      <c r="E979" s="700"/>
      <c r="F979" s="700"/>
      <c r="G979" s="701"/>
      <c r="H979" s="364">
        <f>SUM(H972:H978)</f>
        <v>642.20159616996</v>
      </c>
    </row>
    <row r="980" spans="2:8" ht="15" customHeight="1">
      <c r="B980" s="711"/>
      <c r="C980" s="712"/>
      <c r="D980" s="712"/>
      <c r="E980" s="712"/>
      <c r="F980" s="712"/>
      <c r="G980" s="712"/>
      <c r="H980" s="713"/>
    </row>
    <row r="981" spans="2:8" ht="25.5" customHeight="1">
      <c r="B981" s="367" t="s">
        <v>2060</v>
      </c>
      <c r="C981" s="368" t="s">
        <v>693</v>
      </c>
      <c r="D981" s="369" t="s">
        <v>12</v>
      </c>
      <c r="E981" s="369" t="s">
        <v>37</v>
      </c>
      <c r="F981" s="370"/>
      <c r="G981" s="356"/>
      <c r="H981" s="371"/>
    </row>
    <row r="982" spans="2:8" ht="63.75">
      <c r="B982" s="358">
        <v>734</v>
      </c>
      <c r="C982" s="360" t="s">
        <v>1618</v>
      </c>
      <c r="D982" s="361" t="s">
        <v>401</v>
      </c>
      <c r="E982" s="361" t="s">
        <v>37</v>
      </c>
      <c r="F982" s="362">
        <v>1</v>
      </c>
      <c r="G982" s="359">
        <v>1897.62</v>
      </c>
      <c r="H982" s="363">
        <f>F982*G982</f>
        <v>1897.62</v>
      </c>
    </row>
    <row r="983" spans="2:8" ht="15" customHeight="1">
      <c r="B983" s="358" t="s">
        <v>1355</v>
      </c>
      <c r="C983" s="360" t="s">
        <v>2061</v>
      </c>
      <c r="D983" s="361" t="s">
        <v>12</v>
      </c>
      <c r="E983" s="361" t="s">
        <v>1128</v>
      </c>
      <c r="F983" s="362">
        <v>6.1006493510000004</v>
      </c>
      <c r="G983" s="359">
        <v>20.5</v>
      </c>
      <c r="H983" s="363">
        <f t="shared" ref="H983:H984" si="97">F983*G983</f>
        <v>125.0633116955</v>
      </c>
    </row>
    <row r="984" spans="2:8" ht="25.5">
      <c r="B984" s="358" t="s">
        <v>1619</v>
      </c>
      <c r="C984" s="360" t="s">
        <v>1620</v>
      </c>
      <c r="D984" s="361" t="s">
        <v>12</v>
      </c>
      <c r="E984" s="361" t="s">
        <v>1128</v>
      </c>
      <c r="F984" s="362">
        <v>6.101060071</v>
      </c>
      <c r="G984" s="359">
        <v>27.81</v>
      </c>
      <c r="H984" s="363">
        <f t="shared" si="97"/>
        <v>169.67048057450998</v>
      </c>
    </row>
    <row r="985" spans="2:8" ht="15" customHeight="1">
      <c r="B985" s="699" t="s">
        <v>1231</v>
      </c>
      <c r="C985" s="700"/>
      <c r="D985" s="700"/>
      <c r="E985" s="700"/>
      <c r="F985" s="700"/>
      <c r="G985" s="701"/>
      <c r="H985" s="364">
        <f>SUM(H982:H984)</f>
        <v>2192.3537922700098</v>
      </c>
    </row>
    <row r="986" spans="2:8">
      <c r="B986" s="702"/>
      <c r="C986" s="703"/>
      <c r="D986" s="703"/>
      <c r="E986" s="703"/>
      <c r="F986" s="703"/>
      <c r="G986" s="703"/>
      <c r="H986" s="704"/>
    </row>
    <row r="987" spans="2:8" ht="51">
      <c r="B987" s="367" t="s">
        <v>2062</v>
      </c>
      <c r="C987" s="368" t="s">
        <v>699</v>
      </c>
      <c r="D987" s="369" t="s">
        <v>12</v>
      </c>
      <c r="E987" s="369" t="s">
        <v>24</v>
      </c>
      <c r="F987" s="370"/>
      <c r="G987" s="356"/>
      <c r="H987" s="371"/>
    </row>
    <row r="988" spans="2:8" ht="25.5">
      <c r="B988" s="358">
        <v>3768</v>
      </c>
      <c r="C988" s="360" t="s">
        <v>1538</v>
      </c>
      <c r="D988" s="361" t="s">
        <v>401</v>
      </c>
      <c r="E988" s="361" t="s">
        <v>37</v>
      </c>
      <c r="F988" s="362" t="s">
        <v>1279</v>
      </c>
      <c r="G988" s="359">
        <v>4.24</v>
      </c>
      <c r="H988" s="363">
        <f>F988*G988</f>
        <v>2.12</v>
      </c>
    </row>
    <row r="989" spans="2:8" ht="25.5">
      <c r="B989" s="358">
        <v>43776</v>
      </c>
      <c r="C989" s="360" t="s">
        <v>1626</v>
      </c>
      <c r="D989" s="361" t="s">
        <v>401</v>
      </c>
      <c r="E989" s="361" t="s">
        <v>1293</v>
      </c>
      <c r="F989" s="362">
        <v>0.14961915100000001</v>
      </c>
      <c r="G989" s="359">
        <v>26.09</v>
      </c>
      <c r="H989" s="363">
        <f t="shared" ref="H989:H992" si="98">F989*G989</f>
        <v>3.9035636495900001</v>
      </c>
    </row>
    <row r="990" spans="2:8" ht="25.5">
      <c r="B990" s="358">
        <v>7307</v>
      </c>
      <c r="C990" s="360" t="s">
        <v>1541</v>
      </c>
      <c r="D990" s="361" t="s">
        <v>401</v>
      </c>
      <c r="E990" s="361" t="s">
        <v>1293</v>
      </c>
      <c r="F990" s="362" t="s">
        <v>1556</v>
      </c>
      <c r="G990" s="359">
        <v>40.43</v>
      </c>
      <c r="H990" s="363">
        <f t="shared" si="98"/>
        <v>4.3664399999999999</v>
      </c>
    </row>
    <row r="991" spans="2:8" ht="25.5">
      <c r="B991" s="358" t="s">
        <v>1382</v>
      </c>
      <c r="C991" s="360" t="s">
        <v>1383</v>
      </c>
      <c r="D991" s="361" t="s">
        <v>12</v>
      </c>
      <c r="E991" s="361" t="s">
        <v>1128</v>
      </c>
      <c r="F991" s="362" t="s">
        <v>1517</v>
      </c>
      <c r="G991" s="359">
        <v>27.25</v>
      </c>
      <c r="H991" s="363">
        <f t="shared" si="98"/>
        <v>8.9924999999999997</v>
      </c>
    </row>
    <row r="992" spans="2:8" ht="25.5">
      <c r="B992" s="358" t="s">
        <v>1285</v>
      </c>
      <c r="C992" s="360" t="s">
        <v>1286</v>
      </c>
      <c r="D992" s="361" t="s">
        <v>12</v>
      </c>
      <c r="E992" s="361" t="s">
        <v>1128</v>
      </c>
      <c r="F992" s="362" t="s">
        <v>1627</v>
      </c>
      <c r="G992" s="359">
        <v>19.39</v>
      </c>
      <c r="H992" s="363">
        <f t="shared" si="98"/>
        <v>3.1024000000000003</v>
      </c>
    </row>
    <row r="993" spans="2:8">
      <c r="B993" s="699" t="s">
        <v>1231</v>
      </c>
      <c r="C993" s="700"/>
      <c r="D993" s="700"/>
      <c r="E993" s="700"/>
      <c r="F993" s="700"/>
      <c r="G993" s="701"/>
      <c r="H993" s="364">
        <f>SUM(H988:H992)</f>
        <v>22.484903649589999</v>
      </c>
    </row>
    <row r="994" spans="2:8">
      <c r="B994" s="702"/>
      <c r="C994" s="703"/>
      <c r="D994" s="703"/>
      <c r="E994" s="703"/>
      <c r="F994" s="703"/>
      <c r="G994" s="703"/>
      <c r="H994" s="704"/>
    </row>
    <row r="995" spans="2:8" ht="25.5">
      <c r="B995" s="367" t="s">
        <v>2063</v>
      </c>
      <c r="C995" s="368" t="s">
        <v>701</v>
      </c>
      <c r="D995" s="369" t="s">
        <v>12</v>
      </c>
      <c r="E995" s="369" t="s">
        <v>37</v>
      </c>
      <c r="F995" s="370"/>
      <c r="G995" s="356"/>
      <c r="H995" s="371"/>
    </row>
    <row r="996" spans="2:8" ht="25.5">
      <c r="B996" s="358">
        <v>11707</v>
      </c>
      <c r="C996" s="360" t="s">
        <v>1628</v>
      </c>
      <c r="D996" s="361" t="s">
        <v>401</v>
      </c>
      <c r="E996" s="361" t="s">
        <v>37</v>
      </c>
      <c r="F996" s="362">
        <v>1</v>
      </c>
      <c r="G996" s="359">
        <v>18.28</v>
      </c>
      <c r="H996" s="363">
        <f>F996*G996</f>
        <v>18.28</v>
      </c>
    </row>
    <row r="997" spans="2:8" ht="38.25">
      <c r="B997" s="358" t="s">
        <v>1374</v>
      </c>
      <c r="C997" s="360" t="s">
        <v>1375</v>
      </c>
      <c r="D997" s="361" t="s">
        <v>12</v>
      </c>
      <c r="E997" s="361" t="s">
        <v>1128</v>
      </c>
      <c r="F997" s="362" t="s">
        <v>1279</v>
      </c>
      <c r="G997" s="359">
        <v>20.100000000000001</v>
      </c>
      <c r="H997" s="363">
        <f t="shared" ref="H997:H998" si="99">F997*G997</f>
        <v>10.050000000000001</v>
      </c>
    </row>
    <row r="998" spans="2:8" ht="25.5">
      <c r="B998" s="358" t="s">
        <v>1376</v>
      </c>
      <c r="C998" s="360" t="s">
        <v>1377</v>
      </c>
      <c r="D998" s="361" t="s">
        <v>12</v>
      </c>
      <c r="E998" s="361" t="s">
        <v>1128</v>
      </c>
      <c r="F998" s="362" t="s">
        <v>1279</v>
      </c>
      <c r="G998" s="359">
        <v>25.58</v>
      </c>
      <c r="H998" s="363">
        <f t="shared" si="99"/>
        <v>12.79</v>
      </c>
    </row>
    <row r="999" spans="2:8">
      <c r="B999" s="699" t="s">
        <v>1231</v>
      </c>
      <c r="C999" s="700"/>
      <c r="D999" s="700"/>
      <c r="E999" s="700"/>
      <c r="F999" s="700"/>
      <c r="G999" s="701"/>
      <c r="H999" s="364">
        <f>SUM(H996:H998)</f>
        <v>41.120000000000005</v>
      </c>
    </row>
    <row r="1000" spans="2:8">
      <c r="B1000" s="702"/>
      <c r="C1000" s="703"/>
      <c r="D1000" s="703"/>
      <c r="E1000" s="703"/>
      <c r="F1000" s="703"/>
      <c r="G1000" s="703"/>
      <c r="H1000" s="704"/>
    </row>
    <row r="1001" spans="2:8" ht="25.5">
      <c r="B1001" s="367" t="s">
        <v>2064</v>
      </c>
      <c r="C1001" s="368" t="s">
        <v>702</v>
      </c>
      <c r="D1001" s="369" t="s">
        <v>12</v>
      </c>
      <c r="E1001" s="369" t="s">
        <v>37</v>
      </c>
      <c r="F1001" s="370"/>
      <c r="G1001" s="356"/>
      <c r="H1001" s="371"/>
    </row>
    <row r="1002" spans="2:8" ht="25.5">
      <c r="B1002" s="358">
        <v>11708</v>
      </c>
      <c r="C1002" s="360" t="s">
        <v>1629</v>
      </c>
      <c r="D1002" s="361" t="s">
        <v>401</v>
      </c>
      <c r="E1002" s="361" t="s">
        <v>37</v>
      </c>
      <c r="F1002" s="362">
        <v>1</v>
      </c>
      <c r="G1002" s="359">
        <v>24.4</v>
      </c>
      <c r="H1002" s="363">
        <f>F1002*G1002</f>
        <v>24.4</v>
      </c>
    </row>
    <row r="1003" spans="2:8" ht="38.25">
      <c r="B1003" s="358" t="s">
        <v>1374</v>
      </c>
      <c r="C1003" s="360" t="s">
        <v>1375</v>
      </c>
      <c r="D1003" s="361" t="s">
        <v>12</v>
      </c>
      <c r="E1003" s="361" t="s">
        <v>1128</v>
      </c>
      <c r="F1003" s="362" t="s">
        <v>1279</v>
      </c>
      <c r="G1003" s="359">
        <v>20.100000000000001</v>
      </c>
      <c r="H1003" s="363">
        <f t="shared" ref="H1003:H1004" si="100">F1003*G1003</f>
        <v>10.050000000000001</v>
      </c>
    </row>
    <row r="1004" spans="2:8" ht="25.5">
      <c r="B1004" s="358" t="s">
        <v>1376</v>
      </c>
      <c r="C1004" s="360" t="s">
        <v>1377</v>
      </c>
      <c r="D1004" s="361" t="s">
        <v>12</v>
      </c>
      <c r="E1004" s="361" t="s">
        <v>1128</v>
      </c>
      <c r="F1004" s="362" t="s">
        <v>1279</v>
      </c>
      <c r="G1004" s="359">
        <v>25.58</v>
      </c>
      <c r="H1004" s="363">
        <f t="shared" si="100"/>
        <v>12.79</v>
      </c>
    </row>
    <row r="1005" spans="2:8">
      <c r="B1005" s="699" t="s">
        <v>1231</v>
      </c>
      <c r="C1005" s="700"/>
      <c r="D1005" s="700"/>
      <c r="E1005" s="700"/>
      <c r="F1005" s="700"/>
      <c r="G1005" s="701"/>
      <c r="H1005" s="364">
        <f>SUM(H1002:H1004)</f>
        <v>47.24</v>
      </c>
    </row>
    <row r="1006" spans="2:8">
      <c r="B1006" s="702"/>
      <c r="C1006" s="703"/>
      <c r="D1006" s="703"/>
      <c r="E1006" s="703"/>
      <c r="F1006" s="703"/>
      <c r="G1006" s="703"/>
      <c r="H1006" s="704"/>
    </row>
    <row r="1007" spans="2:8" ht="25.5">
      <c r="B1007" s="367" t="s">
        <v>2065</v>
      </c>
      <c r="C1007" s="368" t="s">
        <v>1890</v>
      </c>
      <c r="D1007" s="369" t="s">
        <v>12</v>
      </c>
      <c r="E1007" s="369" t="s">
        <v>15</v>
      </c>
      <c r="F1007" s="416"/>
      <c r="G1007" s="356"/>
      <c r="H1007" s="371"/>
    </row>
    <row r="1008" spans="2:8" ht="25.5">
      <c r="B1008" s="358" t="s">
        <v>1891</v>
      </c>
      <c r="C1008" s="360" t="s">
        <v>1892</v>
      </c>
      <c r="D1008" s="361" t="s">
        <v>401</v>
      </c>
      <c r="E1008" s="361" t="s">
        <v>1600</v>
      </c>
      <c r="F1008" s="417">
        <v>1</v>
      </c>
      <c r="G1008" s="359">
        <f>115.12*1.2173</f>
        <v>140.13557600000001</v>
      </c>
      <c r="H1008" s="363">
        <f>F1008*G1008</f>
        <v>140.13557600000001</v>
      </c>
    </row>
    <row r="1009" spans="2:10" ht="25.5">
      <c r="B1009" s="358">
        <v>122</v>
      </c>
      <c r="C1009" s="360" t="s">
        <v>1599</v>
      </c>
      <c r="D1009" s="361" t="s">
        <v>401</v>
      </c>
      <c r="E1009" s="361" t="s">
        <v>37</v>
      </c>
      <c r="F1009" s="417" t="s">
        <v>1893</v>
      </c>
      <c r="G1009" s="359">
        <v>72.709999999999994</v>
      </c>
      <c r="H1009" s="363">
        <f t="shared" ref="H1009:H1013" si="101">F1009*G1009</f>
        <v>3.6355</v>
      </c>
    </row>
    <row r="1010" spans="2:10" ht="25.5">
      <c r="B1010" s="358">
        <v>20083</v>
      </c>
      <c r="C1010" s="360" t="s">
        <v>1580</v>
      </c>
      <c r="D1010" s="361" t="s">
        <v>401</v>
      </c>
      <c r="E1010" s="361" t="s">
        <v>37</v>
      </c>
      <c r="F1010" s="417" t="s">
        <v>1894</v>
      </c>
      <c r="G1010" s="359">
        <v>82.38</v>
      </c>
      <c r="H1010" s="363">
        <f t="shared" si="101"/>
        <v>5.7666000000000004</v>
      </c>
    </row>
    <row r="1011" spans="2:10">
      <c r="B1011" s="358">
        <v>38383</v>
      </c>
      <c r="C1011" s="360" t="s">
        <v>1578</v>
      </c>
      <c r="D1011" s="361" t="s">
        <v>401</v>
      </c>
      <c r="E1011" s="361" t="s">
        <v>37</v>
      </c>
      <c r="F1011" s="417" t="s">
        <v>1895</v>
      </c>
      <c r="G1011" s="359">
        <v>2.12</v>
      </c>
      <c r="H1011" s="363">
        <f t="shared" si="101"/>
        <v>0.53</v>
      </c>
    </row>
    <row r="1012" spans="2:10" ht="38.25">
      <c r="B1012" s="358" t="s">
        <v>1374</v>
      </c>
      <c r="C1012" s="360" t="s">
        <v>1375</v>
      </c>
      <c r="D1012" s="361" t="s">
        <v>12</v>
      </c>
      <c r="E1012" s="361" t="s">
        <v>1128</v>
      </c>
      <c r="F1012" s="417">
        <v>1.2</v>
      </c>
      <c r="G1012" s="359">
        <v>20.100000000000001</v>
      </c>
      <c r="H1012" s="363">
        <f t="shared" si="101"/>
        <v>24.12</v>
      </c>
    </row>
    <row r="1013" spans="2:10" ht="25.5">
      <c r="B1013" s="358" t="s">
        <v>1376</v>
      </c>
      <c r="C1013" s="360" t="s">
        <v>1377</v>
      </c>
      <c r="D1013" s="361" t="s">
        <v>12</v>
      </c>
      <c r="E1013" s="361" t="s">
        <v>1128</v>
      </c>
      <c r="F1013" s="417">
        <v>1.2</v>
      </c>
      <c r="G1013" s="359">
        <v>25.58</v>
      </c>
      <c r="H1013" s="363">
        <f t="shared" si="101"/>
        <v>30.695999999999998</v>
      </c>
    </row>
    <row r="1014" spans="2:10">
      <c r="B1014" s="748" t="s">
        <v>1231</v>
      </c>
      <c r="C1014" s="749"/>
      <c r="D1014" s="749"/>
      <c r="E1014" s="749"/>
      <c r="F1014" s="749"/>
      <c r="G1014" s="750"/>
      <c r="H1014" s="410">
        <f>SUM(H1008:H1013)</f>
        <v>204.88367600000004</v>
      </c>
    </row>
    <row r="1015" spans="2:10">
      <c r="B1015" s="711"/>
      <c r="C1015" s="712"/>
      <c r="D1015" s="712"/>
      <c r="E1015" s="712"/>
      <c r="F1015" s="712"/>
      <c r="G1015" s="712"/>
      <c r="H1015" s="713"/>
    </row>
    <row r="1016" spans="2:10" ht="25.5">
      <c r="B1016" s="367" t="s">
        <v>2066</v>
      </c>
      <c r="C1016" s="368" t="s">
        <v>1896</v>
      </c>
      <c r="D1016" s="369" t="s">
        <v>12</v>
      </c>
      <c r="E1016" s="369" t="s">
        <v>663</v>
      </c>
      <c r="F1016" s="416"/>
      <c r="G1016" s="356"/>
      <c r="H1016" s="371"/>
    </row>
    <row r="1017" spans="2:10" ht="25.5">
      <c r="B1017" s="358">
        <v>37106</v>
      </c>
      <c r="C1017" s="360" t="s">
        <v>2067</v>
      </c>
      <c r="D1017" s="361" t="s">
        <v>401</v>
      </c>
      <c r="E1017" s="361" t="s">
        <v>37</v>
      </c>
      <c r="F1017" s="417">
        <v>16</v>
      </c>
      <c r="G1017" s="359">
        <v>6690.49</v>
      </c>
      <c r="H1017" s="363">
        <f>F1017*G1017</f>
        <v>107047.84</v>
      </c>
    </row>
    <row r="1018" spans="2:10" ht="25.5">
      <c r="B1018" s="358" t="s">
        <v>472</v>
      </c>
      <c r="C1018" s="360" t="s">
        <v>473</v>
      </c>
      <c r="D1018" s="361" t="s">
        <v>12</v>
      </c>
      <c r="E1018" s="361" t="s">
        <v>24</v>
      </c>
      <c r="F1018" s="417">
        <v>177.23813799999999</v>
      </c>
      <c r="G1018" s="359">
        <f>11.17*1.2173</f>
        <v>13.597241</v>
      </c>
      <c r="H1018" s="363">
        <f t="shared" ref="H1018:H1038" si="102">F1018*G1018</f>
        <v>2409.949676777258</v>
      </c>
    </row>
    <row r="1019" spans="2:10" ht="63.75">
      <c r="B1019" s="358" t="s">
        <v>829</v>
      </c>
      <c r="C1019" s="93" t="s">
        <v>830</v>
      </c>
      <c r="D1019" s="94" t="s">
        <v>401</v>
      </c>
      <c r="E1019" s="94" t="s">
        <v>37</v>
      </c>
      <c r="F1019" s="103">
        <v>1</v>
      </c>
      <c r="G1019" s="359">
        <f>2844.82*1.2173</f>
        <v>3462.9993860000004</v>
      </c>
      <c r="H1019" s="124">
        <f t="shared" si="102"/>
        <v>3462.9993860000004</v>
      </c>
      <c r="J1019" s="269"/>
    </row>
    <row r="1020" spans="2:10" ht="38.25">
      <c r="B1020" s="358">
        <v>100</v>
      </c>
      <c r="C1020" s="360" t="s">
        <v>1897</v>
      </c>
      <c r="D1020" s="361" t="s">
        <v>401</v>
      </c>
      <c r="E1020" s="361" t="s">
        <v>37</v>
      </c>
      <c r="F1020" s="417">
        <v>32</v>
      </c>
      <c r="G1020" s="359">
        <v>56.26</v>
      </c>
      <c r="H1020" s="363">
        <f t="shared" si="102"/>
        <v>1800.32</v>
      </c>
    </row>
    <row r="1021" spans="2:10" ht="76.5">
      <c r="B1021" s="358">
        <v>10592</v>
      </c>
      <c r="C1021" s="360" t="s">
        <v>1898</v>
      </c>
      <c r="D1021" s="361" t="s">
        <v>401</v>
      </c>
      <c r="E1021" s="361" t="s">
        <v>37</v>
      </c>
      <c r="F1021" s="417">
        <v>2</v>
      </c>
      <c r="G1021" s="359">
        <v>4610</v>
      </c>
      <c r="H1021" s="363">
        <f t="shared" si="102"/>
        <v>9220</v>
      </c>
    </row>
    <row r="1022" spans="2:10" ht="51">
      <c r="B1022" s="358">
        <v>11767</v>
      </c>
      <c r="C1022" s="360" t="s">
        <v>1899</v>
      </c>
      <c r="D1022" s="361" t="s">
        <v>401</v>
      </c>
      <c r="E1022" s="361" t="s">
        <v>37</v>
      </c>
      <c r="F1022" s="417">
        <v>1</v>
      </c>
      <c r="G1022" s="359">
        <v>573.07000000000005</v>
      </c>
      <c r="H1022" s="363">
        <f t="shared" si="102"/>
        <v>573.07000000000005</v>
      </c>
    </row>
    <row r="1023" spans="2:10">
      <c r="B1023" s="358">
        <v>44396</v>
      </c>
      <c r="C1023" s="360" t="s">
        <v>2068</v>
      </c>
      <c r="D1023" s="361" t="s">
        <v>401</v>
      </c>
      <c r="E1023" s="361" t="s">
        <v>1293</v>
      </c>
      <c r="F1023" s="417">
        <v>7.9120400000000002</v>
      </c>
      <c r="G1023" s="359">
        <v>43.77</v>
      </c>
      <c r="H1023" s="363">
        <f t="shared" si="102"/>
        <v>346.30999080000004</v>
      </c>
    </row>
    <row r="1024" spans="2:10" ht="76.5">
      <c r="B1024" s="358" t="s">
        <v>2168</v>
      </c>
      <c r="C1024" s="360" t="s">
        <v>98</v>
      </c>
      <c r="D1024" s="361" t="s">
        <v>12</v>
      </c>
      <c r="E1024" s="361" t="s">
        <v>75</v>
      </c>
      <c r="F1024" s="417">
        <v>224.4</v>
      </c>
      <c r="G1024" s="359">
        <f>H94</f>
        <v>2.18425</v>
      </c>
      <c r="H1024" s="363">
        <f t="shared" si="102"/>
        <v>490.14570000000003</v>
      </c>
    </row>
    <row r="1025" spans="2:8" ht="25.5">
      <c r="B1025" s="358" t="s">
        <v>1622</v>
      </c>
      <c r="C1025" s="360" t="s">
        <v>1623</v>
      </c>
      <c r="D1025" s="361" t="s">
        <v>12</v>
      </c>
      <c r="E1025" s="361" t="s">
        <v>1128</v>
      </c>
      <c r="F1025" s="417">
        <v>8</v>
      </c>
      <c r="G1025" s="359">
        <v>20.43</v>
      </c>
      <c r="H1025" s="363">
        <f t="shared" si="102"/>
        <v>163.44</v>
      </c>
    </row>
    <row r="1026" spans="2:8" ht="38.25">
      <c r="B1026" s="358" t="s">
        <v>1374</v>
      </c>
      <c r="C1026" s="360" t="s">
        <v>1375</v>
      </c>
      <c r="D1026" s="361" t="s">
        <v>12</v>
      </c>
      <c r="E1026" s="361" t="s">
        <v>1128</v>
      </c>
      <c r="F1026" s="417" t="s">
        <v>1900</v>
      </c>
      <c r="G1026" s="359">
        <v>20.100000000000001</v>
      </c>
      <c r="H1026" s="363">
        <f t="shared" si="102"/>
        <v>9.0450000000000017</v>
      </c>
    </row>
    <row r="1027" spans="2:8" ht="25.5">
      <c r="B1027" s="358" t="s">
        <v>1624</v>
      </c>
      <c r="C1027" s="360" t="s">
        <v>1625</v>
      </c>
      <c r="D1027" s="361" t="s">
        <v>12</v>
      </c>
      <c r="E1027" s="361" t="s">
        <v>1128</v>
      </c>
      <c r="F1027" s="417">
        <v>8</v>
      </c>
      <c r="G1027" s="359">
        <v>26.47</v>
      </c>
      <c r="H1027" s="363">
        <f t="shared" si="102"/>
        <v>211.76</v>
      </c>
    </row>
    <row r="1028" spans="2:8" ht="25.5">
      <c r="B1028" s="358" t="s">
        <v>1376</v>
      </c>
      <c r="C1028" s="360" t="s">
        <v>1377</v>
      </c>
      <c r="D1028" s="361" t="s">
        <v>12</v>
      </c>
      <c r="E1028" s="361" t="s">
        <v>1128</v>
      </c>
      <c r="F1028" s="417">
        <v>32</v>
      </c>
      <c r="G1028" s="359">
        <v>25.58</v>
      </c>
      <c r="H1028" s="363">
        <f t="shared" si="102"/>
        <v>818.56</v>
      </c>
    </row>
    <row r="1029" spans="2:8" ht="25.5">
      <c r="B1029" s="358" t="s">
        <v>1337</v>
      </c>
      <c r="C1029" s="360" t="s">
        <v>1338</v>
      </c>
      <c r="D1029" s="361" t="s">
        <v>12</v>
      </c>
      <c r="E1029" s="361" t="s">
        <v>1128</v>
      </c>
      <c r="F1029" s="417">
        <v>32</v>
      </c>
      <c r="G1029" s="359">
        <v>26.2</v>
      </c>
      <c r="H1029" s="363">
        <f t="shared" si="102"/>
        <v>838.4</v>
      </c>
    </row>
    <row r="1030" spans="2:8" ht="25.5">
      <c r="B1030" s="358" t="s">
        <v>1285</v>
      </c>
      <c r="C1030" s="360" t="s">
        <v>1286</v>
      </c>
      <c r="D1030" s="361" t="s">
        <v>12</v>
      </c>
      <c r="E1030" s="361" t="s">
        <v>1128</v>
      </c>
      <c r="F1030" s="417">
        <v>96</v>
      </c>
      <c r="G1030" s="359">
        <v>19.39</v>
      </c>
      <c r="H1030" s="363">
        <f t="shared" si="102"/>
        <v>1861.44</v>
      </c>
    </row>
    <row r="1031" spans="2:8" ht="51">
      <c r="B1031" s="358" t="s">
        <v>552</v>
      </c>
      <c r="C1031" s="360" t="s">
        <v>553</v>
      </c>
      <c r="D1031" s="361" t="s">
        <v>12</v>
      </c>
      <c r="E1031" s="361" t="s">
        <v>24</v>
      </c>
      <c r="F1031" s="417">
        <v>1.2</v>
      </c>
      <c r="G1031" s="359">
        <v>73.11</v>
      </c>
      <c r="H1031" s="363">
        <f t="shared" si="102"/>
        <v>87.731999999999999</v>
      </c>
    </row>
    <row r="1032" spans="2:8" ht="38.25">
      <c r="B1032" s="358" t="s">
        <v>84</v>
      </c>
      <c r="C1032" s="360" t="s">
        <v>85</v>
      </c>
      <c r="D1032" s="361" t="s">
        <v>12</v>
      </c>
      <c r="E1032" s="361" t="s">
        <v>75</v>
      </c>
      <c r="F1032" s="417">
        <v>640</v>
      </c>
      <c r="G1032" s="359">
        <v>27.66</v>
      </c>
      <c r="H1032" s="363">
        <f t="shared" si="102"/>
        <v>17702.400000000001</v>
      </c>
    </row>
    <row r="1033" spans="2:8" ht="51">
      <c r="B1033" s="358" t="s">
        <v>106</v>
      </c>
      <c r="C1033" s="360" t="s">
        <v>107</v>
      </c>
      <c r="D1033" s="361" t="s">
        <v>12</v>
      </c>
      <c r="E1033" s="361" t="s">
        <v>108</v>
      </c>
      <c r="F1033" s="417" t="s">
        <v>1901</v>
      </c>
      <c r="G1033" s="359">
        <v>0.89</v>
      </c>
      <c r="H1033" s="363">
        <f t="shared" si="102"/>
        <v>6379.52</v>
      </c>
    </row>
    <row r="1034" spans="2:8" ht="51">
      <c r="B1034" s="358" t="s">
        <v>2069</v>
      </c>
      <c r="C1034" s="360" t="s">
        <v>2070</v>
      </c>
      <c r="D1034" s="361" t="s">
        <v>12</v>
      </c>
      <c r="E1034" s="361" t="s">
        <v>75</v>
      </c>
      <c r="F1034" s="417">
        <v>16.34</v>
      </c>
      <c r="G1034" s="359">
        <v>343.86</v>
      </c>
      <c r="H1034" s="363">
        <f t="shared" si="102"/>
        <v>5618.6724000000004</v>
      </c>
    </row>
    <row r="1035" spans="2:8" ht="38.25">
      <c r="B1035" s="358" t="s">
        <v>1902</v>
      </c>
      <c r="C1035" s="360" t="s">
        <v>1903</v>
      </c>
      <c r="D1035" s="361" t="s">
        <v>12</v>
      </c>
      <c r="E1035" s="361" t="s">
        <v>75</v>
      </c>
      <c r="F1035" s="417">
        <v>921.84</v>
      </c>
      <c r="G1035" s="359">
        <v>38.630000000000003</v>
      </c>
      <c r="H1035" s="363">
        <f t="shared" si="102"/>
        <v>35610.679200000006</v>
      </c>
    </row>
    <row r="1036" spans="2:8" ht="25.5">
      <c r="B1036" s="358" t="s">
        <v>133</v>
      </c>
      <c r="C1036" s="360" t="s">
        <v>134</v>
      </c>
      <c r="D1036" s="361" t="s">
        <v>12</v>
      </c>
      <c r="E1036" s="361" t="s">
        <v>75</v>
      </c>
      <c r="F1036" s="417">
        <v>122</v>
      </c>
      <c r="G1036" s="359">
        <v>46.5</v>
      </c>
      <c r="H1036" s="363">
        <f t="shared" si="102"/>
        <v>5673</v>
      </c>
    </row>
    <row r="1037" spans="2:8" ht="25.5">
      <c r="B1037" s="358" t="s">
        <v>526</v>
      </c>
      <c r="C1037" s="360" t="s">
        <v>527</v>
      </c>
      <c r="D1037" s="361" t="s">
        <v>12</v>
      </c>
      <c r="E1037" s="361" t="s">
        <v>24</v>
      </c>
      <c r="F1037" s="417">
        <v>370.75</v>
      </c>
      <c r="G1037" s="359">
        <v>21.41</v>
      </c>
      <c r="H1037" s="363">
        <f t="shared" si="102"/>
        <v>7937.7574999999997</v>
      </c>
    </row>
    <row r="1038" spans="2:8" ht="25.5">
      <c r="B1038" s="358">
        <v>9870</v>
      </c>
      <c r="C1038" s="360" t="s">
        <v>1904</v>
      </c>
      <c r="D1038" s="361" t="s">
        <v>401</v>
      </c>
      <c r="E1038" s="361" t="s">
        <v>15</v>
      </c>
      <c r="F1038" s="417">
        <v>12</v>
      </c>
      <c r="G1038" s="359">
        <v>11.01</v>
      </c>
      <c r="H1038" s="363">
        <f t="shared" si="102"/>
        <v>132.12</v>
      </c>
    </row>
    <row r="1039" spans="2:8">
      <c r="B1039" s="748" t="s">
        <v>1231</v>
      </c>
      <c r="C1039" s="749"/>
      <c r="D1039" s="749"/>
      <c r="E1039" s="749"/>
      <c r="F1039" s="749"/>
      <c r="G1039" s="750"/>
      <c r="H1039" s="410">
        <f>SUM(H1017:H1038)</f>
        <v>208395.16085357728</v>
      </c>
    </row>
    <row r="1040" spans="2:8">
      <c r="B1040" s="711"/>
      <c r="C1040" s="712"/>
      <c r="D1040" s="712"/>
      <c r="E1040" s="712"/>
      <c r="F1040" s="712"/>
      <c r="G1040" s="712"/>
      <c r="H1040" s="713"/>
    </row>
    <row r="1041" spans="2:8" ht="25.5">
      <c r="B1041" s="367" t="s">
        <v>2071</v>
      </c>
      <c r="C1041" s="368" t="s">
        <v>1905</v>
      </c>
      <c r="D1041" s="369" t="s">
        <v>12</v>
      </c>
      <c r="E1041" s="369" t="s">
        <v>15</v>
      </c>
      <c r="F1041" s="416"/>
      <c r="G1041" s="356"/>
      <c r="H1041" s="371"/>
    </row>
    <row r="1042" spans="2:8" ht="25.5">
      <c r="B1042" s="358" t="s">
        <v>472</v>
      </c>
      <c r="C1042" s="360" t="s">
        <v>473</v>
      </c>
      <c r="D1042" s="361" t="s">
        <v>12</v>
      </c>
      <c r="E1042" s="361" t="s">
        <v>24</v>
      </c>
      <c r="F1042" s="417">
        <v>3.3</v>
      </c>
      <c r="G1042" s="359">
        <f>11.17*1.2173</f>
        <v>13.597241</v>
      </c>
      <c r="H1042" s="363">
        <f>F1042*G1042</f>
        <v>44.870895300000001</v>
      </c>
    </row>
    <row r="1043" spans="2:8" ht="51">
      <c r="B1043" s="358" t="s">
        <v>140</v>
      </c>
      <c r="C1043" s="360" t="s">
        <v>141</v>
      </c>
      <c r="D1043" s="361" t="s">
        <v>12</v>
      </c>
      <c r="E1043" s="361" t="s">
        <v>75</v>
      </c>
      <c r="F1043" s="417" t="s">
        <v>1906</v>
      </c>
      <c r="G1043" s="359">
        <v>232.16</v>
      </c>
      <c r="H1043" s="363">
        <f t="shared" ref="H1043:H1051" si="103">F1043*G1043</f>
        <v>130.00960000000001</v>
      </c>
    </row>
    <row r="1044" spans="2:8" ht="76.5">
      <c r="B1044" s="358">
        <v>38053</v>
      </c>
      <c r="C1044" s="360" t="s">
        <v>1907</v>
      </c>
      <c r="D1044" s="361" t="s">
        <v>401</v>
      </c>
      <c r="E1044" s="361" t="s">
        <v>15</v>
      </c>
      <c r="F1044" s="417">
        <v>2</v>
      </c>
      <c r="G1044" s="359">
        <v>23.38</v>
      </c>
      <c r="H1044" s="363">
        <f t="shared" si="103"/>
        <v>46.76</v>
      </c>
    </row>
    <row r="1045" spans="2:8" ht="38.25">
      <c r="B1045" s="358" t="s">
        <v>1374</v>
      </c>
      <c r="C1045" s="360" t="s">
        <v>1375</v>
      </c>
      <c r="D1045" s="361" t="s">
        <v>12</v>
      </c>
      <c r="E1045" s="361" t="s">
        <v>1128</v>
      </c>
      <c r="F1045" s="417" t="s">
        <v>1900</v>
      </c>
      <c r="G1045" s="359">
        <v>20.100000000000001</v>
      </c>
      <c r="H1045" s="363">
        <f t="shared" si="103"/>
        <v>9.0450000000000017</v>
      </c>
    </row>
    <row r="1046" spans="2:8" ht="25.5">
      <c r="B1046" s="358" t="s">
        <v>1376</v>
      </c>
      <c r="C1046" s="360" t="s">
        <v>1377</v>
      </c>
      <c r="D1046" s="361" t="s">
        <v>12</v>
      </c>
      <c r="E1046" s="361" t="s">
        <v>1128</v>
      </c>
      <c r="F1046" s="417" t="s">
        <v>1900</v>
      </c>
      <c r="G1046" s="359">
        <v>25.58</v>
      </c>
      <c r="H1046" s="363">
        <f t="shared" si="103"/>
        <v>11.510999999999999</v>
      </c>
    </row>
    <row r="1047" spans="2:8" ht="25.5">
      <c r="B1047" s="358" t="s">
        <v>1285</v>
      </c>
      <c r="C1047" s="360" t="s">
        <v>1286</v>
      </c>
      <c r="D1047" s="361" t="s">
        <v>12</v>
      </c>
      <c r="E1047" s="361" t="s">
        <v>1128</v>
      </c>
      <c r="F1047" s="417" t="s">
        <v>1908</v>
      </c>
      <c r="G1047" s="359">
        <v>19.39</v>
      </c>
      <c r="H1047" s="363">
        <f t="shared" si="103"/>
        <v>14.5425</v>
      </c>
    </row>
    <row r="1048" spans="2:8" ht="51">
      <c r="B1048" s="358" t="s">
        <v>552</v>
      </c>
      <c r="C1048" s="360" t="s">
        <v>553</v>
      </c>
      <c r="D1048" s="361" t="s">
        <v>12</v>
      </c>
      <c r="E1048" s="361" t="s">
        <v>24</v>
      </c>
      <c r="F1048" s="417">
        <v>1.2</v>
      </c>
      <c r="G1048" s="359">
        <v>73.11</v>
      </c>
      <c r="H1048" s="363">
        <f t="shared" si="103"/>
        <v>87.731999999999999</v>
      </c>
    </row>
    <row r="1049" spans="2:8" ht="38.25">
      <c r="B1049" s="358" t="s">
        <v>84</v>
      </c>
      <c r="C1049" s="360" t="s">
        <v>85</v>
      </c>
      <c r="D1049" s="361" t="s">
        <v>12</v>
      </c>
      <c r="E1049" s="361" t="s">
        <v>75</v>
      </c>
      <c r="F1049" s="417">
        <v>1.28</v>
      </c>
      <c r="G1049" s="359">
        <v>27.66</v>
      </c>
      <c r="H1049" s="363">
        <f t="shared" si="103"/>
        <v>35.404800000000002</v>
      </c>
    </row>
    <row r="1050" spans="2:8" ht="38.25">
      <c r="B1050" s="358" t="s">
        <v>1902</v>
      </c>
      <c r="C1050" s="360" t="s">
        <v>1903</v>
      </c>
      <c r="D1050" s="361" t="s">
        <v>12</v>
      </c>
      <c r="E1050" s="361" t="s">
        <v>75</v>
      </c>
      <c r="F1050" s="417">
        <v>1.83</v>
      </c>
      <c r="G1050" s="359">
        <v>38.630000000000003</v>
      </c>
      <c r="H1050" s="363">
        <f t="shared" si="103"/>
        <v>70.692900000000009</v>
      </c>
    </row>
    <row r="1051" spans="2:8" ht="25.5">
      <c r="B1051" s="358" t="s">
        <v>526</v>
      </c>
      <c r="C1051" s="360" t="s">
        <v>527</v>
      </c>
      <c r="D1051" s="361" t="s">
        <v>12</v>
      </c>
      <c r="E1051" s="361" t="s">
        <v>24</v>
      </c>
      <c r="F1051" s="417" t="s">
        <v>1908</v>
      </c>
      <c r="G1051" s="359">
        <v>21.41</v>
      </c>
      <c r="H1051" s="363">
        <f t="shared" si="103"/>
        <v>16.057500000000001</v>
      </c>
    </row>
    <row r="1052" spans="2:8">
      <c r="B1052" s="748" t="s">
        <v>1231</v>
      </c>
      <c r="C1052" s="749"/>
      <c r="D1052" s="749"/>
      <c r="E1052" s="749"/>
      <c r="F1052" s="749"/>
      <c r="G1052" s="750"/>
      <c r="H1052" s="410">
        <f>SUM(H1042:H1051)</f>
        <v>466.62619530000006</v>
      </c>
    </row>
    <row r="1053" spans="2:8">
      <c r="B1053" s="711"/>
      <c r="C1053" s="712"/>
      <c r="D1053" s="712"/>
      <c r="E1053" s="712"/>
      <c r="F1053" s="712"/>
      <c r="G1053" s="712"/>
      <c r="H1053" s="713"/>
    </row>
    <row r="1054" spans="2:8" ht="25.5">
      <c r="B1054" s="367" t="s">
        <v>2072</v>
      </c>
      <c r="C1054" s="368" t="s">
        <v>1909</v>
      </c>
      <c r="D1054" s="369" t="s">
        <v>12</v>
      </c>
      <c r="E1054" s="369" t="s">
        <v>37</v>
      </c>
      <c r="F1054" s="416"/>
      <c r="G1054" s="356"/>
      <c r="H1054" s="371"/>
    </row>
    <row r="1055" spans="2:8" ht="51">
      <c r="B1055" s="358" t="s">
        <v>2073</v>
      </c>
      <c r="C1055" s="360" t="s">
        <v>2074</v>
      </c>
      <c r="D1055" s="361" t="s">
        <v>12</v>
      </c>
      <c r="E1055" s="361" t="s">
        <v>75</v>
      </c>
      <c r="F1055" s="417" t="s">
        <v>1910</v>
      </c>
      <c r="G1055" s="359">
        <v>574.64</v>
      </c>
      <c r="H1055" s="363">
        <f>F1055*G1055</f>
        <v>91.942400000000006</v>
      </c>
    </row>
    <row r="1056" spans="2:8" ht="38.25">
      <c r="B1056" s="358">
        <v>14112</v>
      </c>
      <c r="C1056" s="360" t="s">
        <v>1647</v>
      </c>
      <c r="D1056" s="361" t="s">
        <v>401</v>
      </c>
      <c r="E1056" s="361" t="s">
        <v>37</v>
      </c>
      <c r="F1056" s="417">
        <v>1</v>
      </c>
      <c r="G1056" s="359">
        <v>322.19</v>
      </c>
      <c r="H1056" s="363">
        <f t="shared" ref="H1056:H1061" si="104">F1056*G1056</f>
        <v>322.19</v>
      </c>
    </row>
    <row r="1057" spans="2:8" ht="51">
      <c r="B1057" s="358">
        <v>3103302</v>
      </c>
      <c r="C1057" s="360" t="s">
        <v>1911</v>
      </c>
      <c r="D1057" s="361" t="s">
        <v>12</v>
      </c>
      <c r="E1057" s="361" t="s">
        <v>24</v>
      </c>
      <c r="F1057" s="417" t="s">
        <v>1912</v>
      </c>
      <c r="G1057" s="359">
        <f>49.2*1.2173</f>
        <v>59.891160000000006</v>
      </c>
      <c r="H1057" s="363">
        <f t="shared" si="104"/>
        <v>47.912928000000008</v>
      </c>
    </row>
    <row r="1058" spans="2:8" ht="51">
      <c r="B1058" s="358">
        <v>35277</v>
      </c>
      <c r="C1058" s="360" t="s">
        <v>1913</v>
      </c>
      <c r="D1058" s="361" t="s">
        <v>401</v>
      </c>
      <c r="E1058" s="361" t="s">
        <v>37</v>
      </c>
      <c r="F1058" s="417">
        <v>1</v>
      </c>
      <c r="G1058" s="359">
        <v>497.25</v>
      </c>
      <c r="H1058" s="363">
        <f t="shared" si="104"/>
        <v>497.25</v>
      </c>
    </row>
    <row r="1059" spans="2:8" ht="38.25">
      <c r="B1059" s="358" t="s">
        <v>1374</v>
      </c>
      <c r="C1059" s="360" t="s">
        <v>1375</v>
      </c>
      <c r="D1059" s="361" t="s">
        <v>12</v>
      </c>
      <c r="E1059" s="361" t="s">
        <v>1128</v>
      </c>
      <c r="F1059" s="417">
        <v>1</v>
      </c>
      <c r="G1059" s="359">
        <v>20.100000000000001</v>
      </c>
      <c r="H1059" s="363">
        <f t="shared" si="104"/>
        <v>20.100000000000001</v>
      </c>
    </row>
    <row r="1060" spans="2:8" ht="25.5">
      <c r="B1060" s="358" t="s">
        <v>1376</v>
      </c>
      <c r="C1060" s="360" t="s">
        <v>1377</v>
      </c>
      <c r="D1060" s="361" t="s">
        <v>12</v>
      </c>
      <c r="E1060" s="361" t="s">
        <v>1128</v>
      </c>
      <c r="F1060" s="417" t="s">
        <v>1914</v>
      </c>
      <c r="G1060" s="359">
        <v>25.58</v>
      </c>
      <c r="H1060" s="363">
        <f t="shared" si="104"/>
        <v>12.79</v>
      </c>
    </row>
    <row r="1061" spans="2:8" ht="25.5">
      <c r="B1061" s="358"/>
      <c r="C1061" s="93" t="s">
        <v>1915</v>
      </c>
      <c r="D1061" s="94" t="s">
        <v>12</v>
      </c>
      <c r="E1061" s="94" t="s">
        <v>112</v>
      </c>
      <c r="F1061" s="103">
        <v>4.2</v>
      </c>
      <c r="G1061" s="359">
        <f>7.61*1.2173</f>
        <v>9.2636530000000015</v>
      </c>
      <c r="H1061" s="124">
        <f t="shared" si="104"/>
        <v>38.907342600000007</v>
      </c>
    </row>
    <row r="1062" spans="2:8">
      <c r="B1062" s="753" t="s">
        <v>1231</v>
      </c>
      <c r="C1062" s="754"/>
      <c r="D1062" s="754"/>
      <c r="E1062" s="754"/>
      <c r="F1062" s="754"/>
      <c r="G1062" s="755"/>
      <c r="H1062" s="127">
        <f>SUM(H1055:H1061)</f>
        <v>1031.0926706</v>
      </c>
    </row>
    <row r="1063" spans="2:8">
      <c r="B1063" s="756"/>
      <c r="C1063" s="757"/>
      <c r="D1063" s="757"/>
      <c r="E1063" s="757"/>
      <c r="F1063" s="757"/>
      <c r="G1063" s="757"/>
      <c r="H1063" s="758"/>
    </row>
    <row r="1064" spans="2:8" ht="38.25">
      <c r="B1064" s="367" t="s">
        <v>2075</v>
      </c>
      <c r="C1064" s="118" t="s">
        <v>1916</v>
      </c>
      <c r="D1064" s="119" t="s">
        <v>12</v>
      </c>
      <c r="E1064" s="119" t="s">
        <v>15</v>
      </c>
      <c r="F1064" s="128"/>
      <c r="G1064" s="121"/>
      <c r="H1064" s="122"/>
    </row>
    <row r="1065" spans="2:8">
      <c r="B1065" s="358">
        <v>88239</v>
      </c>
      <c r="C1065" s="360" t="s">
        <v>1917</v>
      </c>
      <c r="D1065" s="361" t="s">
        <v>1228</v>
      </c>
      <c r="E1065" s="361" t="s">
        <v>1128</v>
      </c>
      <c r="F1065" s="417">
        <v>1.45</v>
      </c>
      <c r="G1065" s="359">
        <v>20.52</v>
      </c>
      <c r="H1065" s="363">
        <f>F1065*G1065</f>
        <v>29.753999999999998</v>
      </c>
    </row>
    <row r="1066" spans="2:8">
      <c r="B1066" s="358">
        <v>88262</v>
      </c>
      <c r="C1066" s="360" t="s">
        <v>1243</v>
      </c>
      <c r="D1066" s="361" t="s">
        <v>1228</v>
      </c>
      <c r="E1066" s="361" t="s">
        <v>1128</v>
      </c>
      <c r="F1066" s="417">
        <v>1.45</v>
      </c>
      <c r="G1066" s="359">
        <v>25.93</v>
      </c>
      <c r="H1066" s="363">
        <f t="shared" ref="H1066:H1072" si="105">F1066*G1066</f>
        <v>37.598500000000001</v>
      </c>
    </row>
    <row r="1067" spans="2:8">
      <c r="B1067" s="358">
        <v>88309</v>
      </c>
      <c r="C1067" s="360" t="s">
        <v>1245</v>
      </c>
      <c r="D1067" s="361" t="s">
        <v>1228</v>
      </c>
      <c r="E1067" s="361" t="s">
        <v>1128</v>
      </c>
      <c r="F1067" s="417" t="s">
        <v>1918</v>
      </c>
      <c r="G1067" s="359">
        <v>26.2</v>
      </c>
      <c r="H1067" s="363">
        <f t="shared" si="105"/>
        <v>13.886000000000001</v>
      </c>
    </row>
    <row r="1068" spans="2:8">
      <c r="B1068" s="358">
        <v>88316</v>
      </c>
      <c r="C1068" s="360" t="s">
        <v>1246</v>
      </c>
      <c r="D1068" s="361" t="s">
        <v>1228</v>
      </c>
      <c r="E1068" s="361" t="s">
        <v>1128</v>
      </c>
      <c r="F1068" s="417">
        <v>2.27</v>
      </c>
      <c r="G1068" s="359">
        <v>19.39</v>
      </c>
      <c r="H1068" s="363">
        <f t="shared" si="105"/>
        <v>44.015300000000003</v>
      </c>
    </row>
    <row r="1069" spans="2:8" ht="38.25">
      <c r="B1069" s="358" t="s">
        <v>2076</v>
      </c>
      <c r="C1069" s="360" t="s">
        <v>2077</v>
      </c>
      <c r="D1069" s="361" t="s">
        <v>12</v>
      </c>
      <c r="E1069" s="361" t="s">
        <v>75</v>
      </c>
      <c r="F1069" s="417" t="s">
        <v>1919</v>
      </c>
      <c r="G1069" s="359">
        <v>561.33000000000004</v>
      </c>
      <c r="H1069" s="363">
        <f t="shared" si="105"/>
        <v>50.5197</v>
      </c>
    </row>
    <row r="1070" spans="2:8" ht="25.5">
      <c r="B1070" s="358">
        <v>1355</v>
      </c>
      <c r="C1070" s="360" t="s">
        <v>2078</v>
      </c>
      <c r="D1070" s="361" t="s">
        <v>401</v>
      </c>
      <c r="E1070" s="361" t="s">
        <v>24</v>
      </c>
      <c r="F1070" s="417">
        <v>1.7</v>
      </c>
      <c r="G1070" s="359">
        <v>55.53</v>
      </c>
      <c r="H1070" s="363">
        <f t="shared" si="105"/>
        <v>94.400999999999996</v>
      </c>
    </row>
    <row r="1071" spans="2:8" ht="25.5">
      <c r="B1071" s="358">
        <v>4512</v>
      </c>
      <c r="C1071" s="360" t="s">
        <v>2079</v>
      </c>
      <c r="D1071" s="361" t="s">
        <v>401</v>
      </c>
      <c r="E1071" s="361" t="s">
        <v>15</v>
      </c>
      <c r="F1071" s="417">
        <v>5.8</v>
      </c>
      <c r="G1071" s="359">
        <v>2.19</v>
      </c>
      <c r="H1071" s="363">
        <f t="shared" si="105"/>
        <v>12.702</v>
      </c>
    </row>
    <row r="1072" spans="2:8" ht="25.5">
      <c r="B1072" s="358">
        <v>5067</v>
      </c>
      <c r="C1072" s="360" t="s">
        <v>2080</v>
      </c>
      <c r="D1072" s="361" t="s">
        <v>401</v>
      </c>
      <c r="E1072" s="361" t="s">
        <v>112</v>
      </c>
      <c r="F1072" s="417" t="s">
        <v>1920</v>
      </c>
      <c r="G1072" s="359">
        <v>24.18</v>
      </c>
      <c r="H1072" s="363">
        <f t="shared" si="105"/>
        <v>6.2868000000000004</v>
      </c>
    </row>
    <row r="1073" spans="2:8">
      <c r="B1073" s="748" t="s">
        <v>1231</v>
      </c>
      <c r="C1073" s="749"/>
      <c r="D1073" s="749"/>
      <c r="E1073" s="749"/>
      <c r="F1073" s="749"/>
      <c r="G1073" s="750"/>
      <c r="H1073" s="410">
        <f>SUM(H1065:H1072)</f>
        <v>289.16329999999999</v>
      </c>
    </row>
    <row r="1074" spans="2:8">
      <c r="B1074" s="711"/>
      <c r="C1074" s="712"/>
      <c r="D1074" s="712"/>
      <c r="E1074" s="712"/>
      <c r="F1074" s="712"/>
      <c r="G1074" s="712"/>
      <c r="H1074" s="713"/>
    </row>
    <row r="1075" spans="2:8" ht="63.75">
      <c r="B1075" s="367" t="s">
        <v>2081</v>
      </c>
      <c r="C1075" s="368" t="s">
        <v>1921</v>
      </c>
      <c r="D1075" s="369" t="s">
        <v>12</v>
      </c>
      <c r="E1075" s="369" t="s">
        <v>37</v>
      </c>
      <c r="F1075" s="416"/>
      <c r="G1075" s="356"/>
      <c r="H1075" s="371"/>
    </row>
    <row r="1076" spans="2:8" ht="51">
      <c r="B1076" s="358">
        <v>11245</v>
      </c>
      <c r="C1076" s="360" t="s">
        <v>1922</v>
      </c>
      <c r="D1076" s="361" t="s">
        <v>401</v>
      </c>
      <c r="E1076" s="361" t="s">
        <v>37</v>
      </c>
      <c r="F1076" s="417">
        <v>1</v>
      </c>
      <c r="G1076" s="359">
        <v>386.1</v>
      </c>
      <c r="H1076" s="363">
        <f>F1076*G1076</f>
        <v>386.1</v>
      </c>
    </row>
    <row r="1077" spans="2:8" ht="63.75">
      <c r="B1077" s="358" t="s">
        <v>1630</v>
      </c>
      <c r="C1077" s="360" t="s">
        <v>1631</v>
      </c>
      <c r="D1077" s="361" t="s">
        <v>12</v>
      </c>
      <c r="E1077" s="361" t="s">
        <v>75</v>
      </c>
      <c r="F1077" s="417" t="s">
        <v>1923</v>
      </c>
      <c r="G1077" s="359">
        <v>535.11</v>
      </c>
      <c r="H1077" s="363">
        <f t="shared" ref="H1077:H1079" si="106">F1077*G1077</f>
        <v>4.2808799999999998</v>
      </c>
    </row>
    <row r="1078" spans="2:8" ht="25.5">
      <c r="B1078" s="358" t="s">
        <v>1337</v>
      </c>
      <c r="C1078" s="360" t="s">
        <v>1338</v>
      </c>
      <c r="D1078" s="361" t="s">
        <v>12</v>
      </c>
      <c r="E1078" s="361" t="s">
        <v>1128</v>
      </c>
      <c r="F1078" s="417">
        <v>2.6</v>
      </c>
      <c r="G1078" s="359">
        <v>26.2</v>
      </c>
      <c r="H1078" s="363">
        <f t="shared" si="106"/>
        <v>68.12</v>
      </c>
    </row>
    <row r="1079" spans="2:8" ht="25.5">
      <c r="B1079" s="358" t="s">
        <v>1285</v>
      </c>
      <c r="C1079" s="360" t="s">
        <v>1286</v>
      </c>
      <c r="D1079" s="361" t="s">
        <v>12</v>
      </c>
      <c r="E1079" s="361" t="s">
        <v>1128</v>
      </c>
      <c r="F1079" s="417">
        <v>2.65</v>
      </c>
      <c r="G1079" s="359">
        <v>19.39</v>
      </c>
      <c r="H1079" s="363">
        <f t="shared" si="106"/>
        <v>51.383499999999998</v>
      </c>
    </row>
    <row r="1080" spans="2:8">
      <c r="B1080" s="748" t="s">
        <v>1231</v>
      </c>
      <c r="C1080" s="749"/>
      <c r="D1080" s="749"/>
      <c r="E1080" s="749"/>
      <c r="F1080" s="749"/>
      <c r="G1080" s="750"/>
      <c r="H1080" s="410">
        <f>SUM(H1076:H1079)</f>
        <v>509.88438000000008</v>
      </c>
    </row>
    <row r="1081" spans="2:8">
      <c r="B1081" s="738"/>
      <c r="C1081" s="739"/>
      <c r="D1081" s="739"/>
      <c r="E1081" s="739"/>
      <c r="F1081" s="739"/>
      <c r="G1081" s="739"/>
      <c r="H1081" s="739"/>
    </row>
    <row r="1082" spans="2:8" ht="25.5">
      <c r="B1082" s="367" t="s">
        <v>2082</v>
      </c>
      <c r="C1082" s="368" t="s">
        <v>725</v>
      </c>
      <c r="D1082" s="369" t="s">
        <v>12</v>
      </c>
      <c r="E1082" s="369" t="s">
        <v>37</v>
      </c>
      <c r="F1082" s="370"/>
      <c r="G1082" s="356"/>
      <c r="H1082" s="371"/>
    </row>
    <row r="1083" spans="2:8">
      <c r="B1083" s="358">
        <v>88248</v>
      </c>
      <c r="C1083" s="360" t="s">
        <v>1242</v>
      </c>
      <c r="D1083" s="361" t="s">
        <v>1228</v>
      </c>
      <c r="E1083" s="361" t="s">
        <v>1128</v>
      </c>
      <c r="F1083" s="362" t="s">
        <v>1617</v>
      </c>
      <c r="G1083" s="359">
        <v>20.100000000000001</v>
      </c>
      <c r="H1083" s="363">
        <f>F1083*G1083</f>
        <v>4.6230000000000002</v>
      </c>
    </row>
    <row r="1084" spans="2:8">
      <c r="B1084" s="358">
        <v>88267</v>
      </c>
      <c r="C1084" s="360" t="s">
        <v>1244</v>
      </c>
      <c r="D1084" s="361" t="s">
        <v>1228</v>
      </c>
      <c r="E1084" s="361" t="s">
        <v>1128</v>
      </c>
      <c r="F1084" s="362" t="s">
        <v>1617</v>
      </c>
      <c r="G1084" s="359">
        <v>25.58</v>
      </c>
      <c r="H1084" s="363">
        <f t="shared" ref="H1084:H1087" si="107">F1084*G1084</f>
        <v>5.8834</v>
      </c>
    </row>
    <row r="1085" spans="2:8">
      <c r="B1085" s="358">
        <v>20083</v>
      </c>
      <c r="C1085" s="360" t="s">
        <v>1583</v>
      </c>
      <c r="D1085" s="361" t="s">
        <v>401</v>
      </c>
      <c r="E1085" s="361" t="s">
        <v>1293</v>
      </c>
      <c r="F1085" s="362" t="s">
        <v>1498</v>
      </c>
      <c r="G1085" s="359">
        <v>82.38</v>
      </c>
      <c r="H1085" s="363">
        <f t="shared" si="107"/>
        <v>5.9313599999999989</v>
      </c>
    </row>
    <row r="1086" spans="2:8" ht="25.5">
      <c r="B1086" s="358">
        <v>827</v>
      </c>
      <c r="C1086" s="93" t="s">
        <v>725</v>
      </c>
      <c r="D1086" s="94" t="s">
        <v>401</v>
      </c>
      <c r="E1086" s="94" t="s">
        <v>37</v>
      </c>
      <c r="F1086" s="90">
        <v>1.0150165440000001</v>
      </c>
      <c r="G1086" s="359">
        <f>46.65*1.2173</f>
        <v>56.787044999999999</v>
      </c>
      <c r="H1086" s="124">
        <f t="shared" si="107"/>
        <v>57.639790159872483</v>
      </c>
    </row>
    <row r="1087" spans="2:8">
      <c r="B1087" s="358">
        <v>122</v>
      </c>
      <c r="C1087" s="93" t="s">
        <v>1252</v>
      </c>
      <c r="D1087" s="94" t="s">
        <v>401</v>
      </c>
      <c r="E1087" s="94" t="s">
        <v>112</v>
      </c>
      <c r="F1087" s="90">
        <v>3.0263838000000001E-2</v>
      </c>
      <c r="G1087" s="359">
        <v>72.709999999999994</v>
      </c>
      <c r="H1087" s="124">
        <f t="shared" si="107"/>
        <v>2.2004836609799998</v>
      </c>
    </row>
    <row r="1088" spans="2:8">
      <c r="B1088" s="717" t="s">
        <v>1231</v>
      </c>
      <c r="C1088" s="718"/>
      <c r="D1088" s="718"/>
      <c r="E1088" s="718"/>
      <c r="F1088" s="718"/>
      <c r="G1088" s="719"/>
      <c r="H1088" s="125">
        <f>SUM(H1083:H1087)</f>
        <v>76.278033820852485</v>
      </c>
    </row>
    <row r="1089" spans="2:8">
      <c r="B1089" s="726"/>
      <c r="C1089" s="727"/>
      <c r="D1089" s="727"/>
      <c r="E1089" s="727"/>
      <c r="F1089" s="727"/>
      <c r="G1089" s="727"/>
      <c r="H1089" s="728"/>
    </row>
    <row r="1090" spans="2:8" ht="25.5">
      <c r="B1090" s="367" t="s">
        <v>2083</v>
      </c>
      <c r="C1090" s="118" t="s">
        <v>726</v>
      </c>
      <c r="D1090" s="119" t="s">
        <v>12</v>
      </c>
      <c r="E1090" s="119" t="s">
        <v>37</v>
      </c>
      <c r="F1090" s="120"/>
      <c r="G1090" s="121"/>
      <c r="H1090" s="122"/>
    </row>
    <row r="1091" spans="2:8" ht="25.5">
      <c r="B1091" s="358">
        <v>1200</v>
      </c>
      <c r="C1091" s="360" t="s">
        <v>1632</v>
      </c>
      <c r="D1091" s="361" t="s">
        <v>401</v>
      </c>
      <c r="E1091" s="361" t="s">
        <v>37</v>
      </c>
      <c r="F1091" s="362">
        <v>1</v>
      </c>
      <c r="G1091" s="359">
        <v>11.18</v>
      </c>
      <c r="H1091" s="363">
        <f>F1091*G1091</f>
        <v>11.18</v>
      </c>
    </row>
    <row r="1092" spans="2:8" ht="25.5">
      <c r="B1092" s="358">
        <v>122</v>
      </c>
      <c r="C1092" s="360" t="s">
        <v>1599</v>
      </c>
      <c r="D1092" s="361" t="s">
        <v>401</v>
      </c>
      <c r="E1092" s="361" t="s">
        <v>37</v>
      </c>
      <c r="F1092" s="362" t="s">
        <v>1331</v>
      </c>
      <c r="G1092" s="359">
        <v>72.709999999999994</v>
      </c>
      <c r="H1092" s="363">
        <f t="shared" ref="H1092:H1095" si="108">F1092*G1092</f>
        <v>1.4541999999999999</v>
      </c>
    </row>
    <row r="1093" spans="2:8" ht="25.5">
      <c r="B1093" s="358">
        <v>20083</v>
      </c>
      <c r="C1093" s="360" t="s">
        <v>1580</v>
      </c>
      <c r="D1093" s="361" t="s">
        <v>401</v>
      </c>
      <c r="E1093" s="361" t="s">
        <v>37</v>
      </c>
      <c r="F1093" s="362" t="s">
        <v>1373</v>
      </c>
      <c r="G1093" s="359">
        <v>82.38</v>
      </c>
      <c r="H1093" s="363">
        <f t="shared" si="108"/>
        <v>1.2356999999999998</v>
      </c>
    </row>
    <row r="1094" spans="2:8" ht="25.5">
      <c r="B1094" s="358" t="s">
        <v>1376</v>
      </c>
      <c r="C1094" s="360" t="s">
        <v>1377</v>
      </c>
      <c r="D1094" s="361" t="s">
        <v>12</v>
      </c>
      <c r="E1094" s="361" t="s">
        <v>1128</v>
      </c>
      <c r="F1094" s="362" t="s">
        <v>1284</v>
      </c>
      <c r="G1094" s="359">
        <v>25.58</v>
      </c>
      <c r="H1094" s="363">
        <f t="shared" si="108"/>
        <v>2.8137999999999996</v>
      </c>
    </row>
    <row r="1095" spans="2:8" ht="25.5">
      <c r="B1095" s="358" t="s">
        <v>1285</v>
      </c>
      <c r="C1095" s="360" t="s">
        <v>1286</v>
      </c>
      <c r="D1095" s="361" t="s">
        <v>12</v>
      </c>
      <c r="E1095" s="361" t="s">
        <v>1128</v>
      </c>
      <c r="F1095" s="362" t="s">
        <v>1284</v>
      </c>
      <c r="G1095" s="359">
        <v>19.39</v>
      </c>
      <c r="H1095" s="363">
        <f t="shared" si="108"/>
        <v>2.1329000000000002</v>
      </c>
    </row>
    <row r="1096" spans="2:8">
      <c r="B1096" s="699" t="s">
        <v>1231</v>
      </c>
      <c r="C1096" s="700"/>
      <c r="D1096" s="700"/>
      <c r="E1096" s="700"/>
      <c r="F1096" s="700"/>
      <c r="G1096" s="701"/>
      <c r="H1096" s="364">
        <f>SUM(H1091:H1095)</f>
        <v>18.816599999999998</v>
      </c>
    </row>
    <row r="1097" spans="2:8">
      <c r="B1097" s="702"/>
      <c r="C1097" s="703"/>
      <c r="D1097" s="703"/>
      <c r="E1097" s="703"/>
      <c r="F1097" s="703"/>
      <c r="G1097" s="703"/>
      <c r="H1097" s="704"/>
    </row>
    <row r="1098" spans="2:8" ht="25.5">
      <c r="B1098" s="367" t="s">
        <v>2084</v>
      </c>
      <c r="C1098" s="368" t="s">
        <v>780</v>
      </c>
      <c r="D1098" s="369" t="s">
        <v>12</v>
      </c>
      <c r="E1098" s="369" t="s">
        <v>37</v>
      </c>
      <c r="F1098" s="370"/>
      <c r="G1098" s="356"/>
      <c r="H1098" s="371"/>
    </row>
    <row r="1099" spans="2:8" ht="25.5">
      <c r="B1099" s="358">
        <v>1379</v>
      </c>
      <c r="C1099" s="360" t="s">
        <v>1514</v>
      </c>
      <c r="D1099" s="361" t="s">
        <v>401</v>
      </c>
      <c r="E1099" s="361" t="s">
        <v>112</v>
      </c>
      <c r="F1099" s="362">
        <v>14</v>
      </c>
      <c r="G1099" s="359">
        <v>0.66</v>
      </c>
      <c r="H1099" s="363">
        <f>F1099*G1099</f>
        <v>9.24</v>
      </c>
    </row>
    <row r="1100" spans="2:8" ht="38.25">
      <c r="B1100" s="358">
        <v>370</v>
      </c>
      <c r="C1100" s="360" t="s">
        <v>1557</v>
      </c>
      <c r="D1100" s="361" t="s">
        <v>401</v>
      </c>
      <c r="E1100" s="361" t="s">
        <v>75</v>
      </c>
      <c r="F1100" s="362" t="s">
        <v>1239</v>
      </c>
      <c r="G1100" s="359">
        <v>207.93</v>
      </c>
      <c r="H1100" s="363">
        <f t="shared" ref="H1100:H1102" si="109">F1100*G1100</f>
        <v>8.3171999999999997</v>
      </c>
    </row>
    <row r="1101" spans="2:8" ht="25.5">
      <c r="B1101" s="358" t="s">
        <v>1337</v>
      </c>
      <c r="C1101" s="360" t="s">
        <v>1338</v>
      </c>
      <c r="D1101" s="361" t="s">
        <v>12</v>
      </c>
      <c r="E1101" s="361" t="s">
        <v>1128</v>
      </c>
      <c r="F1101" s="362">
        <v>2</v>
      </c>
      <c r="G1101" s="359">
        <v>26.2</v>
      </c>
      <c r="H1101" s="363">
        <f t="shared" si="109"/>
        <v>52.4</v>
      </c>
    </row>
    <row r="1102" spans="2:8" ht="25.5">
      <c r="B1102" s="358" t="s">
        <v>1285</v>
      </c>
      <c r="C1102" s="360" t="s">
        <v>1286</v>
      </c>
      <c r="D1102" s="361" t="s">
        <v>12</v>
      </c>
      <c r="E1102" s="361" t="s">
        <v>1128</v>
      </c>
      <c r="F1102" s="362">
        <v>1.99907919</v>
      </c>
      <c r="G1102" s="359">
        <v>19.39</v>
      </c>
      <c r="H1102" s="363">
        <f t="shared" si="109"/>
        <v>38.762145494100004</v>
      </c>
    </row>
    <row r="1103" spans="2:8">
      <c r="B1103" s="717" t="s">
        <v>1231</v>
      </c>
      <c r="C1103" s="718"/>
      <c r="D1103" s="718"/>
      <c r="E1103" s="718"/>
      <c r="F1103" s="718"/>
      <c r="G1103" s="719"/>
      <c r="H1103" s="125">
        <f>SUM(H1099:H1102)</f>
        <v>108.7193454941</v>
      </c>
    </row>
    <row r="1104" spans="2:8">
      <c r="B1104" s="726"/>
      <c r="C1104" s="727"/>
      <c r="D1104" s="727"/>
      <c r="E1104" s="727"/>
      <c r="F1104" s="727"/>
      <c r="G1104" s="727"/>
      <c r="H1104" s="728"/>
    </row>
    <row r="1105" spans="2:8" ht="25.5">
      <c r="B1105" s="367" t="s">
        <v>2085</v>
      </c>
      <c r="C1105" s="118" t="s">
        <v>798</v>
      </c>
      <c r="D1105" s="119" t="s">
        <v>12</v>
      </c>
      <c r="E1105" s="119" t="s">
        <v>37</v>
      </c>
      <c r="F1105" s="120"/>
      <c r="G1105" s="121"/>
      <c r="H1105" s="122"/>
    </row>
    <row r="1106" spans="2:8" ht="15.75" customHeight="1">
      <c r="B1106" s="512" t="s">
        <v>2845</v>
      </c>
      <c r="C1106" s="513" t="s">
        <v>2846</v>
      </c>
      <c r="D1106" s="514" t="s">
        <v>12</v>
      </c>
      <c r="E1106" s="514" t="s">
        <v>37</v>
      </c>
      <c r="F1106" s="408">
        <v>1</v>
      </c>
      <c r="G1106" s="409">
        <f>2020.86*1.2173</f>
        <v>2459.992878</v>
      </c>
      <c r="H1106" s="515">
        <f t="shared" ref="H1106:H1144" si="110">F1106*G1106</f>
        <v>2459.992878</v>
      </c>
    </row>
    <row r="1107" spans="2:8" ht="15.75" customHeight="1">
      <c r="B1107" s="516">
        <v>89876</v>
      </c>
      <c r="C1107" s="517" t="s">
        <v>2847</v>
      </c>
      <c r="D1107" s="514" t="s">
        <v>12</v>
      </c>
      <c r="E1107" s="514" t="s">
        <v>1291</v>
      </c>
      <c r="F1107" s="408">
        <v>4</v>
      </c>
      <c r="G1107" s="409">
        <v>322.58999999999997</v>
      </c>
      <c r="H1107" s="515">
        <f t="shared" si="110"/>
        <v>1290.3599999999999</v>
      </c>
    </row>
    <row r="1108" spans="2:8" ht="15.75" customHeight="1">
      <c r="B1108" s="516">
        <v>89877</v>
      </c>
      <c r="C1108" s="517" t="s">
        <v>2848</v>
      </c>
      <c r="D1108" s="514" t="s">
        <v>12</v>
      </c>
      <c r="E1108" s="514" t="s">
        <v>1292</v>
      </c>
      <c r="F1108" s="408">
        <v>4</v>
      </c>
      <c r="G1108" s="409">
        <v>69.09</v>
      </c>
      <c r="H1108" s="515">
        <f t="shared" si="110"/>
        <v>276.36</v>
      </c>
    </row>
    <row r="1109" spans="2:8" ht="15.75" customHeight="1">
      <c r="B1109" s="512" t="s">
        <v>2849</v>
      </c>
      <c r="C1109" s="524" t="s">
        <v>2850</v>
      </c>
      <c r="D1109" s="514" t="s">
        <v>12</v>
      </c>
      <c r="E1109" s="514" t="s">
        <v>37</v>
      </c>
      <c r="F1109" s="408">
        <v>1</v>
      </c>
      <c r="G1109" s="518">
        <f>32281.15*1.2173</f>
        <v>39295.843895000005</v>
      </c>
      <c r="H1109" s="515">
        <f t="shared" si="110"/>
        <v>39295.843895000005</v>
      </c>
    </row>
    <row r="1110" spans="2:8" ht="15.75" customHeight="1">
      <c r="B1110" s="519" t="s">
        <v>2904</v>
      </c>
      <c r="C1110" s="517" t="s">
        <v>2851</v>
      </c>
      <c r="D1110" s="514" t="s">
        <v>12</v>
      </c>
      <c r="E1110" s="514" t="s">
        <v>37</v>
      </c>
      <c r="F1110" s="408">
        <v>3</v>
      </c>
      <c r="G1110" s="518">
        <v>248.3</v>
      </c>
      <c r="H1110" s="515">
        <f t="shared" si="110"/>
        <v>744.90000000000009</v>
      </c>
    </row>
    <row r="1111" spans="2:8" ht="15.75" customHeight="1">
      <c r="B1111" s="516">
        <v>101636</v>
      </c>
      <c r="C1111" s="524" t="s">
        <v>2852</v>
      </c>
      <c r="D1111" s="514" t="s">
        <v>12</v>
      </c>
      <c r="E1111" s="514" t="s">
        <v>37</v>
      </c>
      <c r="F1111" s="408">
        <v>3</v>
      </c>
      <c r="G1111" s="518">
        <v>132.16999999999999</v>
      </c>
      <c r="H1111" s="515">
        <f t="shared" si="110"/>
        <v>396.51</v>
      </c>
    </row>
    <row r="1112" spans="2:8" ht="15.75" customHeight="1">
      <c r="B1112" s="519" t="s">
        <v>2853</v>
      </c>
      <c r="C1112" s="520" t="s">
        <v>2854</v>
      </c>
      <c r="D1112" s="514" t="s">
        <v>12</v>
      </c>
      <c r="E1112" s="514" t="s">
        <v>15</v>
      </c>
      <c r="F1112" s="408">
        <v>24</v>
      </c>
      <c r="G1112" s="518">
        <v>15.89</v>
      </c>
      <c r="H1112" s="515">
        <f t="shared" si="110"/>
        <v>381.36</v>
      </c>
    </row>
    <row r="1113" spans="2:8" ht="15.75" customHeight="1">
      <c r="B1113" s="516">
        <v>101564</v>
      </c>
      <c r="C1113" s="513" t="s">
        <v>2855</v>
      </c>
      <c r="D1113" s="514" t="s">
        <v>12</v>
      </c>
      <c r="E1113" s="514" t="s">
        <v>15</v>
      </c>
      <c r="F1113" s="408">
        <v>216</v>
      </c>
      <c r="G1113" s="518">
        <v>57</v>
      </c>
      <c r="H1113" s="515">
        <f t="shared" si="110"/>
        <v>12312</v>
      </c>
    </row>
    <row r="1114" spans="2:8" ht="15.75" customHeight="1">
      <c r="B1114" s="516">
        <v>101563</v>
      </c>
      <c r="C1114" s="513" t="s">
        <v>2856</v>
      </c>
      <c r="D1114" s="514" t="s">
        <v>12</v>
      </c>
      <c r="E1114" s="514" t="s">
        <v>15</v>
      </c>
      <c r="F1114" s="408">
        <v>54</v>
      </c>
      <c r="G1114" s="518">
        <v>38.57</v>
      </c>
      <c r="H1114" s="515">
        <f t="shared" si="110"/>
        <v>2082.7800000000002</v>
      </c>
    </row>
    <row r="1115" spans="2:8" ht="15.75" customHeight="1">
      <c r="B1115" s="516">
        <v>93012</v>
      </c>
      <c r="C1115" s="513" t="s">
        <v>2857</v>
      </c>
      <c r="D1115" s="514" t="s">
        <v>12</v>
      </c>
      <c r="E1115" s="514" t="s">
        <v>15</v>
      </c>
      <c r="F1115" s="408">
        <v>30</v>
      </c>
      <c r="G1115" s="518">
        <v>80.069999999999993</v>
      </c>
      <c r="H1115" s="515">
        <f t="shared" si="110"/>
        <v>2402.1</v>
      </c>
    </row>
    <row r="1116" spans="2:8" ht="15.75" customHeight="1">
      <c r="B1116" s="516">
        <v>93008</v>
      </c>
      <c r="C1116" s="524" t="s">
        <v>2858</v>
      </c>
      <c r="D1116" s="514" t="s">
        <v>12</v>
      </c>
      <c r="E1116" s="514" t="s">
        <v>15</v>
      </c>
      <c r="F1116" s="408">
        <v>60</v>
      </c>
      <c r="G1116" s="518">
        <v>20.12</v>
      </c>
      <c r="H1116" s="515">
        <f t="shared" si="110"/>
        <v>1207.2</v>
      </c>
    </row>
    <row r="1117" spans="2:8" ht="15.75" customHeight="1">
      <c r="B1117" s="516">
        <v>101568</v>
      </c>
      <c r="C1117" s="513" t="s">
        <v>2859</v>
      </c>
      <c r="D1117" s="514" t="s">
        <v>12</v>
      </c>
      <c r="E1117" s="514" t="s">
        <v>15</v>
      </c>
      <c r="F1117" s="408">
        <v>270</v>
      </c>
      <c r="G1117" s="518">
        <v>135.31</v>
      </c>
      <c r="H1117" s="515">
        <f t="shared" si="110"/>
        <v>36533.699999999997</v>
      </c>
    </row>
    <row r="1118" spans="2:8" ht="15.75" customHeight="1">
      <c r="B1118" s="516">
        <v>101567</v>
      </c>
      <c r="C1118" s="513" t="s">
        <v>2860</v>
      </c>
      <c r="D1118" s="514" t="s">
        <v>12</v>
      </c>
      <c r="E1118" s="514" t="s">
        <v>15</v>
      </c>
      <c r="F1118" s="408">
        <v>90</v>
      </c>
      <c r="G1118" s="518">
        <v>103.48</v>
      </c>
      <c r="H1118" s="515">
        <f t="shared" si="110"/>
        <v>9313.2000000000007</v>
      </c>
    </row>
    <row r="1119" spans="2:8" ht="15.75" customHeight="1">
      <c r="B1119" s="519">
        <v>91931</v>
      </c>
      <c r="C1119" s="524" t="s">
        <v>2861</v>
      </c>
      <c r="D1119" s="514" t="s">
        <v>12</v>
      </c>
      <c r="E1119" s="514" t="s">
        <v>15</v>
      </c>
      <c r="F1119" s="408">
        <v>120</v>
      </c>
      <c r="G1119" s="518">
        <v>10.15</v>
      </c>
      <c r="H1119" s="515">
        <f t="shared" si="110"/>
        <v>1218</v>
      </c>
    </row>
    <row r="1120" spans="2:8" ht="15.75" customHeight="1">
      <c r="B1120" s="512" t="s">
        <v>2862</v>
      </c>
      <c r="C1120" s="517" t="s">
        <v>2863</v>
      </c>
      <c r="D1120" s="514" t="s">
        <v>12</v>
      </c>
      <c r="E1120" s="514" t="s">
        <v>37</v>
      </c>
      <c r="F1120" s="408">
        <v>1</v>
      </c>
      <c r="G1120" s="409">
        <v>354.34</v>
      </c>
      <c r="H1120" s="515">
        <f t="shared" si="110"/>
        <v>354.34</v>
      </c>
    </row>
    <row r="1121" spans="2:8" ht="15.75" customHeight="1">
      <c r="B1121" s="519" t="s">
        <v>2864</v>
      </c>
      <c r="C1121" s="525" t="s">
        <v>2865</v>
      </c>
      <c r="D1121" s="514" t="s">
        <v>12</v>
      </c>
      <c r="E1121" s="514" t="s">
        <v>75</v>
      </c>
      <c r="F1121" s="408">
        <v>0.79</v>
      </c>
      <c r="G1121" s="409">
        <v>2445.08</v>
      </c>
      <c r="H1121" s="515">
        <f t="shared" si="110"/>
        <v>1931.6132</v>
      </c>
    </row>
    <row r="1122" spans="2:8" ht="15.75" customHeight="1">
      <c r="B1122" s="512" t="s">
        <v>2866</v>
      </c>
      <c r="C1122" s="526" t="s">
        <v>2867</v>
      </c>
      <c r="D1122" s="514" t="s">
        <v>12</v>
      </c>
      <c r="E1122" s="514" t="s">
        <v>24</v>
      </c>
      <c r="F1122" s="408">
        <v>9.36</v>
      </c>
      <c r="G1122" s="409">
        <v>88.09</v>
      </c>
      <c r="H1122" s="515">
        <f t="shared" si="110"/>
        <v>824.52239999999995</v>
      </c>
    </row>
    <row r="1123" spans="2:8" ht="15.75" customHeight="1">
      <c r="B1123" s="519" t="s">
        <v>2868</v>
      </c>
      <c r="C1123" s="524" t="s">
        <v>2869</v>
      </c>
      <c r="D1123" s="514" t="s">
        <v>12</v>
      </c>
      <c r="E1123" s="514" t="s">
        <v>24</v>
      </c>
      <c r="F1123" s="408">
        <v>19.62</v>
      </c>
      <c r="G1123" s="409">
        <v>34.15</v>
      </c>
      <c r="H1123" s="515">
        <f t="shared" si="110"/>
        <v>670.02300000000002</v>
      </c>
    </row>
    <row r="1124" spans="2:8" ht="15.75" customHeight="1">
      <c r="B1124" s="521" t="s">
        <v>1634</v>
      </c>
      <c r="C1124" s="527" t="s">
        <v>1635</v>
      </c>
      <c r="D1124" s="514" t="s">
        <v>401</v>
      </c>
      <c r="E1124" s="514" t="s">
        <v>37</v>
      </c>
      <c r="F1124" s="408">
        <v>2</v>
      </c>
      <c r="G1124" s="409">
        <v>92</v>
      </c>
      <c r="H1124" s="515">
        <f t="shared" si="110"/>
        <v>184</v>
      </c>
    </row>
    <row r="1125" spans="2:8" ht="15.75" customHeight="1">
      <c r="B1125" s="521" t="s">
        <v>1636</v>
      </c>
      <c r="C1125" s="527" t="s">
        <v>1637</v>
      </c>
      <c r="D1125" s="514" t="s">
        <v>401</v>
      </c>
      <c r="E1125" s="514" t="s">
        <v>37</v>
      </c>
      <c r="F1125" s="408">
        <v>1</v>
      </c>
      <c r="G1125" s="409">
        <v>78</v>
      </c>
      <c r="H1125" s="515">
        <f t="shared" si="110"/>
        <v>78</v>
      </c>
    </row>
    <row r="1126" spans="2:8" ht="15.75" customHeight="1">
      <c r="B1126" s="521" t="s">
        <v>1638</v>
      </c>
      <c r="C1126" s="527" t="s">
        <v>2870</v>
      </c>
      <c r="D1126" s="514" t="s">
        <v>401</v>
      </c>
      <c r="E1126" s="514" t="s">
        <v>37</v>
      </c>
      <c r="F1126" s="408">
        <v>1</v>
      </c>
      <c r="G1126" s="409">
        <v>1532</v>
      </c>
      <c r="H1126" s="515">
        <f t="shared" si="110"/>
        <v>1532</v>
      </c>
    </row>
    <row r="1127" spans="2:8" ht="102">
      <c r="B1127" s="528" t="s">
        <v>2871</v>
      </c>
      <c r="C1127" s="517" t="s">
        <v>2872</v>
      </c>
      <c r="D1127" s="514" t="s">
        <v>401</v>
      </c>
      <c r="E1127" s="514" t="s">
        <v>37</v>
      </c>
      <c r="F1127" s="408">
        <v>1</v>
      </c>
      <c r="G1127" s="409">
        <v>6944.18</v>
      </c>
      <c r="H1127" s="515">
        <f t="shared" si="110"/>
        <v>6944.18</v>
      </c>
    </row>
    <row r="1128" spans="2:8" ht="15.75" customHeight="1">
      <c r="B1128" s="519" t="s">
        <v>2873</v>
      </c>
      <c r="C1128" s="520" t="s">
        <v>2874</v>
      </c>
      <c r="D1128" s="514" t="s">
        <v>401</v>
      </c>
      <c r="E1128" s="514" t="s">
        <v>37</v>
      </c>
      <c r="F1128" s="408">
        <v>1</v>
      </c>
      <c r="G1128" s="409">
        <v>167.41</v>
      </c>
      <c r="H1128" s="515">
        <f t="shared" si="110"/>
        <v>167.41</v>
      </c>
    </row>
    <row r="1129" spans="2:8" ht="15.75" customHeight="1">
      <c r="B1129" s="512">
        <v>98111</v>
      </c>
      <c r="C1129" s="517" t="s">
        <v>2875</v>
      </c>
      <c r="D1129" s="514" t="s">
        <v>401</v>
      </c>
      <c r="E1129" s="514" t="s">
        <v>37</v>
      </c>
      <c r="F1129" s="408">
        <v>6</v>
      </c>
      <c r="G1129" s="409">
        <v>67.83</v>
      </c>
      <c r="H1129" s="515">
        <f t="shared" si="110"/>
        <v>406.98</v>
      </c>
    </row>
    <row r="1130" spans="2:8" ht="15.75" customHeight="1">
      <c r="B1130" s="519">
        <v>96985</v>
      </c>
      <c r="C1130" s="524" t="s">
        <v>2876</v>
      </c>
      <c r="D1130" s="514" t="s">
        <v>12</v>
      </c>
      <c r="E1130" s="514" t="s">
        <v>37</v>
      </c>
      <c r="F1130" s="408">
        <v>6</v>
      </c>
      <c r="G1130" s="409">
        <v>82.41</v>
      </c>
      <c r="H1130" s="515">
        <f t="shared" si="110"/>
        <v>494.46</v>
      </c>
    </row>
    <row r="1131" spans="2:8" ht="15.75" customHeight="1">
      <c r="B1131" s="519">
        <v>96972</v>
      </c>
      <c r="C1131" s="524" t="s">
        <v>2877</v>
      </c>
      <c r="D1131" s="514" t="s">
        <v>12</v>
      </c>
      <c r="E1131" s="514" t="s">
        <v>15</v>
      </c>
      <c r="F1131" s="408">
        <v>24</v>
      </c>
      <c r="G1131" s="409">
        <v>48.69</v>
      </c>
      <c r="H1131" s="515">
        <f t="shared" si="110"/>
        <v>1168.56</v>
      </c>
    </row>
    <row r="1132" spans="2:8" ht="15.75" customHeight="1">
      <c r="B1132" s="519">
        <v>96973</v>
      </c>
      <c r="C1132" s="524" t="s">
        <v>2878</v>
      </c>
      <c r="D1132" s="514" t="s">
        <v>12</v>
      </c>
      <c r="E1132" s="514" t="s">
        <v>15</v>
      </c>
      <c r="F1132" s="408">
        <v>28</v>
      </c>
      <c r="G1132" s="409">
        <v>65.489999999999995</v>
      </c>
      <c r="H1132" s="515">
        <f t="shared" si="110"/>
        <v>1833.7199999999998</v>
      </c>
    </row>
    <row r="1133" spans="2:8" ht="15.75" customHeight="1">
      <c r="B1133" s="519">
        <v>96978</v>
      </c>
      <c r="C1133" s="524" t="s">
        <v>2879</v>
      </c>
      <c r="D1133" s="514" t="s">
        <v>12</v>
      </c>
      <c r="E1133" s="514" t="s">
        <v>15</v>
      </c>
      <c r="F1133" s="408">
        <v>26</v>
      </c>
      <c r="G1133" s="409">
        <v>85.58</v>
      </c>
      <c r="H1133" s="515">
        <f t="shared" si="110"/>
        <v>2225.08</v>
      </c>
    </row>
    <row r="1134" spans="2:8" ht="15.75" customHeight="1">
      <c r="B1134" s="521" t="s">
        <v>1154</v>
      </c>
      <c r="C1134" s="522" t="s">
        <v>2880</v>
      </c>
      <c r="D1134" s="514" t="s">
        <v>401</v>
      </c>
      <c r="E1134" s="514" t="s">
        <v>37</v>
      </c>
      <c r="F1134" s="408">
        <v>1</v>
      </c>
      <c r="G1134" s="409">
        <f>478.64*1.2173</f>
        <v>582.64847199999997</v>
      </c>
      <c r="H1134" s="515">
        <f t="shared" si="110"/>
        <v>582.64847199999997</v>
      </c>
    </row>
    <row r="1135" spans="2:8" ht="15.75" customHeight="1">
      <c r="B1135" s="521" t="s">
        <v>1639</v>
      </c>
      <c r="C1135" s="522" t="s">
        <v>1640</v>
      </c>
      <c r="D1135" s="514" t="s">
        <v>401</v>
      </c>
      <c r="E1135" s="514" t="s">
        <v>37</v>
      </c>
      <c r="F1135" s="408">
        <v>1</v>
      </c>
      <c r="G1135" s="409">
        <v>1996.89</v>
      </c>
      <c r="H1135" s="515">
        <f t="shared" si="110"/>
        <v>1996.89</v>
      </c>
    </row>
    <row r="1136" spans="2:8" ht="15.75" customHeight="1">
      <c r="B1136" s="521">
        <v>1062</v>
      </c>
      <c r="C1136" s="522" t="s">
        <v>1641</v>
      </c>
      <c r="D1136" s="514" t="s">
        <v>401</v>
      </c>
      <c r="E1136" s="514" t="s">
        <v>37</v>
      </c>
      <c r="F1136" s="408">
        <v>1</v>
      </c>
      <c r="G1136" s="409">
        <v>359.57</v>
      </c>
      <c r="H1136" s="515">
        <f t="shared" si="110"/>
        <v>359.57</v>
      </c>
    </row>
    <row r="1137" spans="2:8" ht="15.75" customHeight="1">
      <c r="B1137" s="521">
        <v>39680</v>
      </c>
      <c r="C1137" s="522" t="s">
        <v>1642</v>
      </c>
      <c r="D1137" s="514" t="s">
        <v>401</v>
      </c>
      <c r="E1137" s="514" t="s">
        <v>37</v>
      </c>
      <c r="F1137" s="408">
        <v>1</v>
      </c>
      <c r="G1137" s="409">
        <f>111.06*1.2173217</f>
        <v>135.19574800200002</v>
      </c>
      <c r="H1137" s="515">
        <f t="shared" si="110"/>
        <v>135.19574800200002</v>
      </c>
    </row>
    <row r="1138" spans="2:8" ht="15.75" customHeight="1">
      <c r="B1138" s="521" t="s">
        <v>1643</v>
      </c>
      <c r="C1138" s="522" t="s">
        <v>1644</v>
      </c>
      <c r="D1138" s="514" t="s">
        <v>12</v>
      </c>
      <c r="E1138" s="514" t="s">
        <v>37</v>
      </c>
      <c r="F1138" s="408">
        <v>1</v>
      </c>
      <c r="G1138" s="409">
        <f>222.47*1.2173</f>
        <v>270.81273099999999</v>
      </c>
      <c r="H1138" s="515">
        <f t="shared" si="110"/>
        <v>270.81273099999999</v>
      </c>
    </row>
    <row r="1139" spans="2:8" ht="15.75" customHeight="1">
      <c r="B1139" s="519" t="s">
        <v>2881</v>
      </c>
      <c r="C1139" s="525" t="s">
        <v>2882</v>
      </c>
      <c r="D1139" s="514" t="s">
        <v>12</v>
      </c>
      <c r="E1139" s="514" t="s">
        <v>37</v>
      </c>
      <c r="F1139" s="408">
        <v>1</v>
      </c>
      <c r="G1139" s="518">
        <f>1658.22*1.2173</f>
        <v>2018.5512060000001</v>
      </c>
      <c r="H1139" s="515">
        <f t="shared" si="110"/>
        <v>2018.5512060000001</v>
      </c>
    </row>
    <row r="1140" spans="2:8" ht="15.75" customHeight="1">
      <c r="B1140" s="519" t="s">
        <v>2883</v>
      </c>
      <c r="C1140" s="525" t="s">
        <v>2884</v>
      </c>
      <c r="D1140" s="514" t="s">
        <v>12</v>
      </c>
      <c r="E1140" s="514" t="s">
        <v>37</v>
      </c>
      <c r="F1140" s="408">
        <v>1</v>
      </c>
      <c r="G1140" s="518">
        <f>469.99*1.2173</f>
        <v>572.11882700000001</v>
      </c>
      <c r="H1140" s="515">
        <f t="shared" si="110"/>
        <v>572.11882700000001</v>
      </c>
    </row>
    <row r="1141" spans="2:8" ht="15.75" customHeight="1">
      <c r="B1141" s="519">
        <v>93655</v>
      </c>
      <c r="C1141" s="525" t="s">
        <v>2885</v>
      </c>
      <c r="D1141" s="514" t="s">
        <v>12</v>
      </c>
      <c r="E1141" s="514" t="s">
        <v>37</v>
      </c>
      <c r="F1141" s="408">
        <v>1</v>
      </c>
      <c r="G1141" s="518">
        <v>16.32</v>
      </c>
      <c r="H1141" s="515">
        <f t="shared" si="110"/>
        <v>16.32</v>
      </c>
    </row>
    <row r="1142" spans="2:8" ht="15.75" customHeight="1">
      <c r="B1142" s="519" t="s">
        <v>2886</v>
      </c>
      <c r="C1142" s="525" t="s">
        <v>2887</v>
      </c>
      <c r="D1142" s="514" t="s">
        <v>12</v>
      </c>
      <c r="E1142" s="514" t="s">
        <v>37</v>
      </c>
      <c r="F1142" s="408">
        <v>1</v>
      </c>
      <c r="G1142" s="518">
        <v>108.58</v>
      </c>
      <c r="H1142" s="515">
        <f t="shared" si="110"/>
        <v>108.58</v>
      </c>
    </row>
    <row r="1143" spans="2:8" ht="15.75" customHeight="1">
      <c r="B1143" s="521" t="s">
        <v>1622</v>
      </c>
      <c r="C1143" s="522" t="s">
        <v>1623</v>
      </c>
      <c r="D1143" s="514" t="s">
        <v>12</v>
      </c>
      <c r="E1143" s="514" t="s">
        <v>1128</v>
      </c>
      <c r="F1143" s="408">
        <v>32</v>
      </c>
      <c r="G1143" s="409">
        <v>20.43</v>
      </c>
      <c r="H1143" s="515">
        <f t="shared" si="110"/>
        <v>653.76</v>
      </c>
    </row>
    <row r="1144" spans="2:8" ht="15.75" customHeight="1">
      <c r="B1144" s="521" t="s">
        <v>1624</v>
      </c>
      <c r="C1144" s="522" t="s">
        <v>1625</v>
      </c>
      <c r="D1144" s="514" t="s">
        <v>12</v>
      </c>
      <c r="E1144" s="514" t="s">
        <v>1128</v>
      </c>
      <c r="F1144" s="408">
        <v>64</v>
      </c>
      <c r="G1144" s="409">
        <v>26.47</v>
      </c>
      <c r="H1144" s="515">
        <f t="shared" si="110"/>
        <v>1694.08</v>
      </c>
    </row>
    <row r="1145" spans="2:8" ht="15.75" customHeight="1">
      <c r="B1145" s="766" t="s">
        <v>1231</v>
      </c>
      <c r="C1145" s="767"/>
      <c r="D1145" s="767"/>
      <c r="E1145" s="767"/>
      <c r="F1145" s="767"/>
      <c r="G1145" s="768"/>
      <c r="H1145" s="523">
        <f>SUM(H1105:H1144)</f>
        <v>137137.72235700203</v>
      </c>
    </row>
    <row r="1146" spans="2:8">
      <c r="B1146" s="759"/>
      <c r="C1146" s="760"/>
      <c r="D1146" s="760"/>
      <c r="E1146" s="760"/>
      <c r="F1146" s="760"/>
      <c r="G1146" s="760"/>
      <c r="H1146" s="761"/>
    </row>
    <row r="1147" spans="2:8" ht="25.5">
      <c r="B1147" s="367" t="s">
        <v>2086</v>
      </c>
      <c r="C1147" s="118" t="s">
        <v>813</v>
      </c>
      <c r="D1147" s="119" t="s">
        <v>12</v>
      </c>
      <c r="E1147" s="119" t="s">
        <v>37</v>
      </c>
      <c r="F1147" s="120"/>
      <c r="G1147" s="121"/>
      <c r="H1147" s="122"/>
    </row>
    <row r="1148" spans="2:8" ht="25.5">
      <c r="B1148" s="358">
        <v>1106</v>
      </c>
      <c r="C1148" s="93" t="s">
        <v>1646</v>
      </c>
      <c r="D1148" s="94" t="s">
        <v>401</v>
      </c>
      <c r="E1148" s="94" t="s">
        <v>112</v>
      </c>
      <c r="F1148" s="90">
        <v>6</v>
      </c>
      <c r="G1148" s="359">
        <v>1.2</v>
      </c>
      <c r="H1148" s="124">
        <f>F1148*G1148</f>
        <v>7.1999999999999993</v>
      </c>
    </row>
    <row r="1149" spans="2:8" ht="38.25">
      <c r="B1149" s="358">
        <v>1358</v>
      </c>
      <c r="C1149" s="93" t="s">
        <v>1341</v>
      </c>
      <c r="D1149" s="94" t="s">
        <v>401</v>
      </c>
      <c r="E1149" s="94" t="s">
        <v>24</v>
      </c>
      <c r="F1149" s="90" t="s">
        <v>1387</v>
      </c>
      <c r="G1149" s="359">
        <v>68.17</v>
      </c>
      <c r="H1149" s="124">
        <f t="shared" ref="H1149:H1158" si="111">F1149*G1149</f>
        <v>8.1804000000000006</v>
      </c>
    </row>
    <row r="1150" spans="2:8" ht="25.5">
      <c r="B1150" s="358">
        <v>1379</v>
      </c>
      <c r="C1150" s="93" t="s">
        <v>1514</v>
      </c>
      <c r="D1150" s="94" t="s">
        <v>401</v>
      </c>
      <c r="E1150" s="94" t="s">
        <v>112</v>
      </c>
      <c r="F1150" s="90">
        <v>36</v>
      </c>
      <c r="G1150" s="359">
        <v>0.66</v>
      </c>
      <c r="H1150" s="124">
        <f t="shared" si="111"/>
        <v>23.76</v>
      </c>
    </row>
    <row r="1151" spans="2:8" ht="38.25">
      <c r="B1151" s="358">
        <v>14112</v>
      </c>
      <c r="C1151" s="93" t="s">
        <v>1647</v>
      </c>
      <c r="D1151" s="94" t="s">
        <v>401</v>
      </c>
      <c r="E1151" s="94" t="s">
        <v>37</v>
      </c>
      <c r="F1151" s="90">
        <v>1</v>
      </c>
      <c r="G1151" s="359">
        <v>322.19</v>
      </c>
      <c r="H1151" s="124">
        <f t="shared" si="111"/>
        <v>322.19</v>
      </c>
    </row>
    <row r="1152" spans="2:8" ht="38.25">
      <c r="B1152" s="358">
        <v>370</v>
      </c>
      <c r="C1152" s="93" t="s">
        <v>1557</v>
      </c>
      <c r="D1152" s="94" t="s">
        <v>401</v>
      </c>
      <c r="E1152" s="94" t="s">
        <v>75</v>
      </c>
      <c r="F1152" s="90" t="s">
        <v>1387</v>
      </c>
      <c r="G1152" s="359">
        <v>207.93</v>
      </c>
      <c r="H1152" s="124">
        <f t="shared" si="111"/>
        <v>24.951599999999999</v>
      </c>
    </row>
    <row r="1153" spans="2:8">
      <c r="B1153" s="358">
        <v>43059</v>
      </c>
      <c r="C1153" s="93" t="s">
        <v>1648</v>
      </c>
      <c r="D1153" s="94" t="s">
        <v>401</v>
      </c>
      <c r="E1153" s="94" t="s">
        <v>112</v>
      </c>
      <c r="F1153" s="90">
        <v>4</v>
      </c>
      <c r="G1153" s="359">
        <v>9.2899999999999991</v>
      </c>
      <c r="H1153" s="124">
        <f t="shared" si="111"/>
        <v>37.159999999999997</v>
      </c>
    </row>
    <row r="1154" spans="2:8" ht="38.25">
      <c r="B1154" s="358">
        <v>4721</v>
      </c>
      <c r="C1154" s="93" t="s">
        <v>1649</v>
      </c>
      <c r="D1154" s="94" t="s">
        <v>401</v>
      </c>
      <c r="E1154" s="94" t="s">
        <v>75</v>
      </c>
      <c r="F1154" s="90" t="s">
        <v>1275</v>
      </c>
      <c r="G1154" s="359">
        <v>185.74</v>
      </c>
      <c r="H1154" s="124">
        <f t="shared" si="111"/>
        <v>11.144400000000001</v>
      </c>
    </row>
    <row r="1155" spans="2:8" ht="38.25">
      <c r="B1155" s="358">
        <v>4722</v>
      </c>
      <c r="C1155" s="93" t="s">
        <v>1339</v>
      </c>
      <c r="D1155" s="94" t="s">
        <v>401</v>
      </c>
      <c r="E1155" s="94" t="s">
        <v>75</v>
      </c>
      <c r="F1155" s="90" t="s">
        <v>1307</v>
      </c>
      <c r="G1155" s="359">
        <v>175.45</v>
      </c>
      <c r="H1155" s="124">
        <f t="shared" si="111"/>
        <v>1.4036</v>
      </c>
    </row>
    <row r="1156" spans="2:8" ht="25.5">
      <c r="B1156" s="358">
        <v>7258</v>
      </c>
      <c r="C1156" s="93" t="s">
        <v>1398</v>
      </c>
      <c r="D1156" s="94" t="s">
        <v>401</v>
      </c>
      <c r="E1156" s="94" t="s">
        <v>37</v>
      </c>
      <c r="F1156" s="90">
        <v>120</v>
      </c>
      <c r="G1156" s="359">
        <v>0.68</v>
      </c>
      <c r="H1156" s="124">
        <f t="shared" si="111"/>
        <v>81.600000000000009</v>
      </c>
    </row>
    <row r="1157" spans="2:8" ht="25.5">
      <c r="B1157" s="358" t="s">
        <v>1337</v>
      </c>
      <c r="C1157" s="93" t="s">
        <v>1338</v>
      </c>
      <c r="D1157" s="94" t="s">
        <v>12</v>
      </c>
      <c r="E1157" s="94" t="s">
        <v>1128</v>
      </c>
      <c r="F1157" s="90">
        <v>4.0007326010000002</v>
      </c>
      <c r="G1157" s="359">
        <v>26.2</v>
      </c>
      <c r="H1157" s="124">
        <f t="shared" si="111"/>
        <v>104.8191941462</v>
      </c>
    </row>
    <row r="1158" spans="2:8" ht="25.5">
      <c r="B1158" s="358" t="s">
        <v>1285</v>
      </c>
      <c r="C1158" s="93" t="s">
        <v>1286</v>
      </c>
      <c r="D1158" s="94" t="s">
        <v>12</v>
      </c>
      <c r="E1158" s="94" t="s">
        <v>1128</v>
      </c>
      <c r="F1158" s="90">
        <v>5.9981583790000004</v>
      </c>
      <c r="G1158" s="359">
        <v>19.39</v>
      </c>
      <c r="H1158" s="124">
        <f t="shared" si="111"/>
        <v>116.30429096881001</v>
      </c>
    </row>
    <row r="1159" spans="2:8" ht="15" customHeight="1">
      <c r="B1159" s="717" t="s">
        <v>1231</v>
      </c>
      <c r="C1159" s="718"/>
      <c r="D1159" s="718"/>
      <c r="E1159" s="718"/>
      <c r="F1159" s="718"/>
      <c r="G1159" s="719"/>
      <c r="H1159" s="125">
        <f>SUM(H1148:H1158)</f>
        <v>738.71348511501003</v>
      </c>
    </row>
    <row r="1160" spans="2:8">
      <c r="B1160" s="762"/>
      <c r="C1160" s="763"/>
      <c r="D1160" s="763"/>
      <c r="E1160" s="763"/>
      <c r="F1160" s="763"/>
      <c r="G1160" s="763"/>
      <c r="H1160" s="764"/>
    </row>
    <row r="1161" spans="2:8" ht="25.5" customHeight="1">
      <c r="B1161" s="419" t="s">
        <v>2087</v>
      </c>
      <c r="C1161" s="116" t="s">
        <v>818</v>
      </c>
      <c r="D1161" s="129" t="s">
        <v>12</v>
      </c>
      <c r="E1161" s="129" t="s">
        <v>663</v>
      </c>
      <c r="F1161" s="130"/>
      <c r="G1161" s="131"/>
      <c r="H1161" s="132"/>
    </row>
    <row r="1162" spans="2:8" ht="51">
      <c r="B1162" s="388">
        <v>13393</v>
      </c>
      <c r="C1162" s="360" t="s">
        <v>1650</v>
      </c>
      <c r="D1162" s="361" t="s">
        <v>401</v>
      </c>
      <c r="E1162" s="361" t="s">
        <v>37</v>
      </c>
      <c r="F1162" s="362">
        <v>1</v>
      </c>
      <c r="G1162" s="359">
        <v>480.53</v>
      </c>
      <c r="H1162" s="387">
        <f>F1162*G1162</f>
        <v>480.53</v>
      </c>
    </row>
    <row r="1163" spans="2:8" ht="25.5">
      <c r="B1163" s="388">
        <v>2373</v>
      </c>
      <c r="C1163" s="360" t="s">
        <v>1651</v>
      </c>
      <c r="D1163" s="361" t="s">
        <v>401</v>
      </c>
      <c r="E1163" s="361" t="s">
        <v>37</v>
      </c>
      <c r="F1163" s="362">
        <v>3</v>
      </c>
      <c r="G1163" s="359">
        <v>146.12</v>
      </c>
      <c r="H1163" s="387">
        <f t="shared" ref="H1163:H1168" si="112">F1163*G1163</f>
        <v>438.36</v>
      </c>
    </row>
    <row r="1164" spans="2:8" ht="25.5">
      <c r="B1164" s="388">
        <v>2392</v>
      </c>
      <c r="C1164" s="360" t="s">
        <v>1652</v>
      </c>
      <c r="D1164" s="361" t="s">
        <v>401</v>
      </c>
      <c r="E1164" s="361" t="s">
        <v>37</v>
      </c>
      <c r="F1164" s="362">
        <v>8</v>
      </c>
      <c r="G1164" s="359">
        <v>103.71</v>
      </c>
      <c r="H1164" s="387">
        <f t="shared" si="112"/>
        <v>829.68</v>
      </c>
    </row>
    <row r="1165" spans="2:8" ht="25.5">
      <c r="B1165" s="388" t="s">
        <v>2088</v>
      </c>
      <c r="C1165" s="360" t="s">
        <v>1653</v>
      </c>
      <c r="D1165" s="361" t="s">
        <v>401</v>
      </c>
      <c r="E1165" s="361" t="s">
        <v>37</v>
      </c>
      <c r="F1165" s="362">
        <v>1</v>
      </c>
      <c r="G1165" s="359">
        <v>263</v>
      </c>
      <c r="H1165" s="387">
        <f t="shared" si="112"/>
        <v>263</v>
      </c>
    </row>
    <row r="1166" spans="2:8" ht="38.25">
      <c r="B1166" s="388">
        <v>2376</v>
      </c>
      <c r="C1166" s="360" t="s">
        <v>2089</v>
      </c>
      <c r="D1166" s="361" t="s">
        <v>12</v>
      </c>
      <c r="E1166" s="361" t="s">
        <v>37</v>
      </c>
      <c r="F1166" s="362">
        <v>1</v>
      </c>
      <c r="G1166" s="359">
        <v>2756.43</v>
      </c>
      <c r="H1166" s="387">
        <f t="shared" si="112"/>
        <v>2756.43</v>
      </c>
    </row>
    <row r="1167" spans="2:8" ht="25.5">
      <c r="B1167" s="388" t="s">
        <v>1622</v>
      </c>
      <c r="C1167" s="360" t="s">
        <v>1623</v>
      </c>
      <c r="D1167" s="361" t="s">
        <v>12</v>
      </c>
      <c r="E1167" s="361" t="s">
        <v>1128</v>
      </c>
      <c r="F1167" s="362">
        <v>12</v>
      </c>
      <c r="G1167" s="359">
        <v>20.43</v>
      </c>
      <c r="H1167" s="387">
        <f t="shared" si="112"/>
        <v>245.16</v>
      </c>
    </row>
    <row r="1168" spans="2:8" ht="25.5">
      <c r="B1168" s="388" t="s">
        <v>1624</v>
      </c>
      <c r="C1168" s="360" t="s">
        <v>1625</v>
      </c>
      <c r="D1168" s="361" t="s">
        <v>12</v>
      </c>
      <c r="E1168" s="361" t="s">
        <v>1128</v>
      </c>
      <c r="F1168" s="362">
        <v>12</v>
      </c>
      <c r="G1168" s="359">
        <v>26.47</v>
      </c>
      <c r="H1168" s="387">
        <f t="shared" si="112"/>
        <v>317.64</v>
      </c>
    </row>
    <row r="1169" spans="2:8" ht="15" customHeight="1">
      <c r="B1169" s="765" t="s">
        <v>1231</v>
      </c>
      <c r="C1169" s="700"/>
      <c r="D1169" s="700"/>
      <c r="E1169" s="700"/>
      <c r="F1169" s="700"/>
      <c r="G1169" s="701"/>
      <c r="H1169" s="418">
        <f>SUM(H1162:H1168)</f>
        <v>5330.8</v>
      </c>
    </row>
    <row r="1170" spans="2:8">
      <c r="B1170" s="740"/>
      <c r="C1170" s="741"/>
      <c r="D1170" s="741"/>
      <c r="E1170" s="741"/>
      <c r="F1170" s="741"/>
      <c r="G1170" s="741"/>
      <c r="H1170" s="742"/>
    </row>
    <row r="1171" spans="2:8" ht="25.5" customHeight="1">
      <c r="B1171" s="419" t="s">
        <v>2090</v>
      </c>
      <c r="C1171" s="420" t="s">
        <v>821</v>
      </c>
      <c r="D1171" s="421" t="s">
        <v>12</v>
      </c>
      <c r="E1171" s="421" t="s">
        <v>663</v>
      </c>
      <c r="F1171" s="422"/>
      <c r="G1171" s="423"/>
      <c r="H1171" s="424"/>
    </row>
    <row r="1172" spans="2:8" ht="51">
      <c r="B1172" s="388">
        <v>12043</v>
      </c>
      <c r="C1172" s="360" t="s">
        <v>1654</v>
      </c>
      <c r="D1172" s="361" t="s">
        <v>401</v>
      </c>
      <c r="E1172" s="361" t="s">
        <v>37</v>
      </c>
      <c r="F1172" s="362">
        <v>1</v>
      </c>
      <c r="G1172" s="359">
        <v>1713.52</v>
      </c>
      <c r="H1172" s="387">
        <f>F1172*G1172</f>
        <v>1713.52</v>
      </c>
    </row>
    <row r="1173" spans="2:8" ht="25.5">
      <c r="B1173" s="388">
        <v>2370</v>
      </c>
      <c r="C1173" s="360" t="s">
        <v>1655</v>
      </c>
      <c r="D1173" s="361" t="s">
        <v>401</v>
      </c>
      <c r="E1173" s="361" t="s">
        <v>37</v>
      </c>
      <c r="F1173" s="362">
        <v>15</v>
      </c>
      <c r="G1173" s="359">
        <v>15.45</v>
      </c>
      <c r="H1173" s="387">
        <f t="shared" ref="H1173:H1178" si="113">F1173*G1173</f>
        <v>231.75</v>
      </c>
    </row>
    <row r="1174" spans="2:8" ht="15" customHeight="1">
      <c r="B1174" s="388">
        <v>2373</v>
      </c>
      <c r="C1174" s="360" t="s">
        <v>1651</v>
      </c>
      <c r="D1174" s="361" t="s">
        <v>401</v>
      </c>
      <c r="E1174" s="361" t="s">
        <v>37</v>
      </c>
      <c r="F1174" s="362">
        <v>1</v>
      </c>
      <c r="G1174" s="359">
        <v>146.12</v>
      </c>
      <c r="H1174" s="387">
        <f t="shared" si="113"/>
        <v>146.12</v>
      </c>
    </row>
    <row r="1175" spans="2:8" ht="25.5">
      <c r="B1175" s="388">
        <v>2386</v>
      </c>
      <c r="C1175" s="360" t="s">
        <v>1656</v>
      </c>
      <c r="D1175" s="361" t="s">
        <v>401</v>
      </c>
      <c r="E1175" s="361" t="s">
        <v>37</v>
      </c>
      <c r="F1175" s="362">
        <v>12</v>
      </c>
      <c r="G1175" s="359">
        <v>25.92</v>
      </c>
      <c r="H1175" s="387">
        <f t="shared" si="113"/>
        <v>311.04000000000002</v>
      </c>
    </row>
    <row r="1176" spans="2:8" ht="25.5">
      <c r="B1176" s="388" t="s">
        <v>2088</v>
      </c>
      <c r="C1176" s="360" t="s">
        <v>1653</v>
      </c>
      <c r="D1176" s="361" t="s">
        <v>401</v>
      </c>
      <c r="E1176" s="361" t="s">
        <v>37</v>
      </c>
      <c r="F1176" s="362">
        <v>1</v>
      </c>
      <c r="G1176" s="359">
        <v>263</v>
      </c>
      <c r="H1176" s="387">
        <f t="shared" si="113"/>
        <v>263</v>
      </c>
    </row>
    <row r="1177" spans="2:8" ht="25.5">
      <c r="B1177" s="388" t="s">
        <v>1622</v>
      </c>
      <c r="C1177" s="360" t="s">
        <v>1623</v>
      </c>
      <c r="D1177" s="361" t="s">
        <v>12</v>
      </c>
      <c r="E1177" s="361" t="s">
        <v>1128</v>
      </c>
      <c r="F1177" s="362">
        <v>16</v>
      </c>
      <c r="G1177" s="359">
        <v>20.43</v>
      </c>
      <c r="H1177" s="387">
        <f t="shared" si="113"/>
        <v>326.88</v>
      </c>
    </row>
    <row r="1178" spans="2:8" ht="25.5">
      <c r="B1178" s="388" t="s">
        <v>1624</v>
      </c>
      <c r="C1178" s="360" t="s">
        <v>1625</v>
      </c>
      <c r="D1178" s="361" t="s">
        <v>12</v>
      </c>
      <c r="E1178" s="361" t="s">
        <v>1128</v>
      </c>
      <c r="F1178" s="362">
        <v>16</v>
      </c>
      <c r="G1178" s="359">
        <v>26.47</v>
      </c>
      <c r="H1178" s="387">
        <f t="shared" si="113"/>
        <v>423.52</v>
      </c>
    </row>
    <row r="1179" spans="2:8">
      <c r="B1179" s="765" t="s">
        <v>1231</v>
      </c>
      <c r="C1179" s="700"/>
      <c r="D1179" s="700"/>
      <c r="E1179" s="700"/>
      <c r="F1179" s="700"/>
      <c r="G1179" s="701"/>
      <c r="H1179" s="418">
        <f>SUM(H1172:H1178)</f>
        <v>3415.83</v>
      </c>
    </row>
    <row r="1180" spans="2:8">
      <c r="B1180" s="702"/>
      <c r="C1180" s="703"/>
      <c r="D1180" s="703"/>
      <c r="E1180" s="703"/>
      <c r="F1180" s="703"/>
      <c r="G1180" s="703"/>
      <c r="H1180" s="704"/>
    </row>
    <row r="1181" spans="2:8" ht="25.5" customHeight="1">
      <c r="B1181" s="367" t="s">
        <v>2091</v>
      </c>
      <c r="C1181" s="118" t="s">
        <v>822</v>
      </c>
      <c r="D1181" s="119" t="s">
        <v>12</v>
      </c>
      <c r="E1181" s="119" t="s">
        <v>663</v>
      </c>
      <c r="F1181" s="120"/>
      <c r="G1181" s="121"/>
      <c r="H1181" s="122"/>
    </row>
    <row r="1182" spans="2:8" ht="25.5">
      <c r="B1182" s="358" t="s">
        <v>1657</v>
      </c>
      <c r="C1182" s="93" t="s">
        <v>1658</v>
      </c>
      <c r="D1182" s="94" t="s">
        <v>401</v>
      </c>
      <c r="E1182" s="94" t="s">
        <v>37</v>
      </c>
      <c r="F1182" s="90">
        <v>1</v>
      </c>
      <c r="G1182" s="359">
        <f>147.5*1.2173</f>
        <v>179.55175</v>
      </c>
      <c r="H1182" s="124">
        <f>F1182*G1182</f>
        <v>179.55175</v>
      </c>
    </row>
    <row r="1183" spans="2:8" ht="25.5">
      <c r="B1183" s="358">
        <v>2370</v>
      </c>
      <c r="C1183" s="93" t="s">
        <v>1655</v>
      </c>
      <c r="D1183" s="94" t="s">
        <v>401</v>
      </c>
      <c r="E1183" s="94" t="s">
        <v>37</v>
      </c>
      <c r="F1183" s="90">
        <v>12</v>
      </c>
      <c r="G1183" s="359">
        <v>15.45</v>
      </c>
      <c r="H1183" s="124">
        <f t="shared" ref="H1183:H1187" si="114">F1183*G1183</f>
        <v>185.39999999999998</v>
      </c>
    </row>
    <row r="1184" spans="2:8" ht="25.5">
      <c r="B1184" s="358">
        <v>2392</v>
      </c>
      <c r="C1184" s="93" t="s">
        <v>1652</v>
      </c>
      <c r="D1184" s="94" t="s">
        <v>401</v>
      </c>
      <c r="E1184" s="94" t="s">
        <v>37</v>
      </c>
      <c r="F1184" s="90">
        <v>1</v>
      </c>
      <c r="G1184" s="359">
        <v>103.72</v>
      </c>
      <c r="H1184" s="124">
        <f t="shared" si="114"/>
        <v>103.72</v>
      </c>
    </row>
    <row r="1185" spans="2:8" ht="51">
      <c r="B1185" s="358">
        <v>13395</v>
      </c>
      <c r="C1185" s="93" t="s">
        <v>2092</v>
      </c>
      <c r="D1185" s="94" t="s">
        <v>12</v>
      </c>
      <c r="E1185" s="94" t="s">
        <v>37</v>
      </c>
      <c r="F1185" s="90">
        <v>1</v>
      </c>
      <c r="G1185" s="359">
        <v>673.41</v>
      </c>
      <c r="H1185" s="124">
        <f t="shared" si="114"/>
        <v>673.41</v>
      </c>
    </row>
    <row r="1186" spans="2:8" ht="25.5">
      <c r="B1186" s="358" t="s">
        <v>1622</v>
      </c>
      <c r="C1186" s="93" t="s">
        <v>1623</v>
      </c>
      <c r="D1186" s="94" t="s">
        <v>12</v>
      </c>
      <c r="E1186" s="94" t="s">
        <v>1128</v>
      </c>
      <c r="F1186" s="90">
        <v>10</v>
      </c>
      <c r="G1186" s="359">
        <v>20.43</v>
      </c>
      <c r="H1186" s="124">
        <f t="shared" si="114"/>
        <v>204.3</v>
      </c>
    </row>
    <row r="1187" spans="2:8" ht="25.5">
      <c r="B1187" s="358" t="s">
        <v>1624</v>
      </c>
      <c r="C1187" s="93" t="s">
        <v>1625</v>
      </c>
      <c r="D1187" s="94" t="s">
        <v>12</v>
      </c>
      <c r="E1187" s="94" t="s">
        <v>1128</v>
      </c>
      <c r="F1187" s="90">
        <v>10</v>
      </c>
      <c r="G1187" s="359">
        <v>26.47</v>
      </c>
      <c r="H1187" s="124">
        <f t="shared" si="114"/>
        <v>264.7</v>
      </c>
    </row>
    <row r="1188" spans="2:8">
      <c r="B1188" s="717" t="s">
        <v>1231</v>
      </c>
      <c r="C1188" s="718"/>
      <c r="D1188" s="718"/>
      <c r="E1188" s="718"/>
      <c r="F1188" s="718"/>
      <c r="G1188" s="719"/>
      <c r="H1188" s="125">
        <f>SUM(H1182:H1187)</f>
        <v>1611.0817499999998</v>
      </c>
    </row>
    <row r="1189" spans="2:8">
      <c r="B1189" s="726"/>
      <c r="C1189" s="727"/>
      <c r="D1189" s="727"/>
      <c r="E1189" s="727"/>
      <c r="F1189" s="727"/>
      <c r="G1189" s="727"/>
      <c r="H1189" s="728"/>
    </row>
    <row r="1190" spans="2:8" ht="25.5" customHeight="1">
      <c r="B1190" s="367" t="s">
        <v>2093</v>
      </c>
      <c r="C1190" s="118" t="s">
        <v>823</v>
      </c>
      <c r="D1190" s="119" t="s">
        <v>12</v>
      </c>
      <c r="E1190" s="119" t="s">
        <v>663</v>
      </c>
      <c r="F1190" s="120"/>
      <c r="G1190" s="121"/>
      <c r="H1190" s="122"/>
    </row>
    <row r="1191" spans="2:8" ht="25.5">
      <c r="B1191" s="358" t="s">
        <v>1657</v>
      </c>
      <c r="C1191" s="93" t="s">
        <v>1658</v>
      </c>
      <c r="D1191" s="94" t="s">
        <v>401</v>
      </c>
      <c r="E1191" s="94" t="s">
        <v>37</v>
      </c>
      <c r="F1191" s="90">
        <v>1</v>
      </c>
      <c r="G1191" s="359">
        <f>147.5*1.2173</f>
        <v>179.55175</v>
      </c>
      <c r="H1191" s="124">
        <f>F1191*G1191</f>
        <v>179.55175</v>
      </c>
    </row>
    <row r="1192" spans="2:8" ht="25.5">
      <c r="B1192" s="358">
        <v>2370</v>
      </c>
      <c r="C1192" s="93" t="s">
        <v>1655</v>
      </c>
      <c r="D1192" s="94" t="s">
        <v>401</v>
      </c>
      <c r="E1192" s="94" t="s">
        <v>37</v>
      </c>
      <c r="F1192" s="90">
        <v>18</v>
      </c>
      <c r="G1192" s="359">
        <v>15.45</v>
      </c>
      <c r="H1192" s="124">
        <f t="shared" ref="H1192:H1196" si="115">F1192*G1192</f>
        <v>278.09999999999997</v>
      </c>
    </row>
    <row r="1193" spans="2:8" ht="25.5">
      <c r="B1193" s="358">
        <v>2392</v>
      </c>
      <c r="C1193" s="93" t="s">
        <v>1652</v>
      </c>
      <c r="D1193" s="94" t="s">
        <v>401</v>
      </c>
      <c r="E1193" s="94" t="s">
        <v>37</v>
      </c>
      <c r="F1193" s="90">
        <v>1</v>
      </c>
      <c r="G1193" s="359">
        <v>103.72</v>
      </c>
      <c r="H1193" s="124">
        <f t="shared" si="115"/>
        <v>103.72</v>
      </c>
    </row>
    <row r="1194" spans="2:8" ht="51">
      <c r="B1194" s="358">
        <v>12039</v>
      </c>
      <c r="C1194" s="93" t="s">
        <v>2094</v>
      </c>
      <c r="D1194" s="94" t="s">
        <v>12</v>
      </c>
      <c r="E1194" s="94" t="s">
        <v>37</v>
      </c>
      <c r="F1194" s="90">
        <v>1</v>
      </c>
      <c r="G1194" s="359">
        <v>707.68</v>
      </c>
      <c r="H1194" s="124">
        <f t="shared" si="115"/>
        <v>707.68</v>
      </c>
    </row>
    <row r="1195" spans="2:8" ht="25.5">
      <c r="B1195" s="358" t="s">
        <v>1622</v>
      </c>
      <c r="C1195" s="93" t="s">
        <v>1623</v>
      </c>
      <c r="D1195" s="94" t="s">
        <v>12</v>
      </c>
      <c r="E1195" s="94" t="s">
        <v>1128</v>
      </c>
      <c r="F1195" s="90">
        <v>14</v>
      </c>
      <c r="G1195" s="359">
        <v>20.43</v>
      </c>
      <c r="H1195" s="124">
        <f t="shared" si="115"/>
        <v>286.02</v>
      </c>
    </row>
    <row r="1196" spans="2:8" ht="25.5">
      <c r="B1196" s="358" t="s">
        <v>1624</v>
      </c>
      <c r="C1196" s="93" t="s">
        <v>1625</v>
      </c>
      <c r="D1196" s="94" t="s">
        <v>12</v>
      </c>
      <c r="E1196" s="94" t="s">
        <v>1128</v>
      </c>
      <c r="F1196" s="90">
        <v>14</v>
      </c>
      <c r="G1196" s="359">
        <v>26.47</v>
      </c>
      <c r="H1196" s="124">
        <f t="shared" si="115"/>
        <v>370.58</v>
      </c>
    </row>
    <row r="1197" spans="2:8">
      <c r="B1197" s="717" t="s">
        <v>1231</v>
      </c>
      <c r="C1197" s="718"/>
      <c r="D1197" s="718"/>
      <c r="E1197" s="718"/>
      <c r="F1197" s="718"/>
      <c r="G1197" s="719"/>
      <c r="H1197" s="125">
        <f>SUM(H1191:H1196)</f>
        <v>1925.65175</v>
      </c>
    </row>
    <row r="1198" spans="2:8">
      <c r="B1198" s="726"/>
      <c r="C1198" s="727"/>
      <c r="D1198" s="727"/>
      <c r="E1198" s="727"/>
      <c r="F1198" s="727"/>
      <c r="G1198" s="727"/>
      <c r="H1198" s="728"/>
    </row>
    <row r="1199" spans="2:8" ht="25.5" customHeight="1">
      <c r="B1199" s="367" t="s">
        <v>2095</v>
      </c>
      <c r="C1199" s="118" t="s">
        <v>824</v>
      </c>
      <c r="D1199" s="119" t="s">
        <v>12</v>
      </c>
      <c r="E1199" s="119" t="s">
        <v>663</v>
      </c>
      <c r="F1199" s="120"/>
      <c r="G1199" s="121"/>
      <c r="H1199" s="122"/>
    </row>
    <row r="1200" spans="2:8" ht="25.5">
      <c r="B1200" s="358" t="s">
        <v>1657</v>
      </c>
      <c r="C1200" s="93" t="s">
        <v>1658</v>
      </c>
      <c r="D1200" s="94" t="s">
        <v>401</v>
      </c>
      <c r="E1200" s="94" t="s">
        <v>37</v>
      </c>
      <c r="F1200" s="90">
        <v>1</v>
      </c>
      <c r="G1200" s="359">
        <f>147.5*1.2173</f>
        <v>179.55175</v>
      </c>
      <c r="H1200" s="124">
        <f>F1200*G1200</f>
        <v>179.55175</v>
      </c>
    </row>
    <row r="1201" spans="2:8" ht="25.5">
      <c r="B1201" s="358">
        <v>2370</v>
      </c>
      <c r="C1201" s="93" t="s">
        <v>1655</v>
      </c>
      <c r="D1201" s="94" t="s">
        <v>401</v>
      </c>
      <c r="E1201" s="94" t="s">
        <v>37</v>
      </c>
      <c r="F1201" s="90">
        <v>11</v>
      </c>
      <c r="G1201" s="359">
        <v>15.45</v>
      </c>
      <c r="H1201" s="124">
        <f t="shared" ref="H1201:H1205" si="116">F1201*G1201</f>
        <v>169.95</v>
      </c>
    </row>
    <row r="1202" spans="2:8" ht="25.5">
      <c r="B1202" s="358">
        <v>2392</v>
      </c>
      <c r="C1202" s="93" t="s">
        <v>1652</v>
      </c>
      <c r="D1202" s="94" t="s">
        <v>401</v>
      </c>
      <c r="E1202" s="94" t="s">
        <v>37</v>
      </c>
      <c r="F1202" s="90">
        <v>1</v>
      </c>
      <c r="G1202" s="359">
        <v>103.72</v>
      </c>
      <c r="H1202" s="124">
        <f t="shared" si="116"/>
        <v>103.72</v>
      </c>
    </row>
    <row r="1203" spans="2:8" ht="51">
      <c r="B1203" s="358">
        <v>13395</v>
      </c>
      <c r="C1203" s="93" t="s">
        <v>2092</v>
      </c>
      <c r="D1203" s="94" t="s">
        <v>12</v>
      </c>
      <c r="E1203" s="94" t="s">
        <v>37</v>
      </c>
      <c r="F1203" s="90">
        <v>1</v>
      </c>
      <c r="G1203" s="359">
        <v>673.41</v>
      </c>
      <c r="H1203" s="124">
        <f t="shared" si="116"/>
        <v>673.41</v>
      </c>
    </row>
    <row r="1204" spans="2:8" ht="25.5">
      <c r="B1204" s="358" t="s">
        <v>1622</v>
      </c>
      <c r="C1204" s="93" t="s">
        <v>1623</v>
      </c>
      <c r="D1204" s="94" t="s">
        <v>12</v>
      </c>
      <c r="E1204" s="94" t="s">
        <v>1128</v>
      </c>
      <c r="F1204" s="90">
        <v>10</v>
      </c>
      <c r="G1204" s="359">
        <v>20.43</v>
      </c>
      <c r="H1204" s="124">
        <f t="shared" si="116"/>
        <v>204.3</v>
      </c>
    </row>
    <row r="1205" spans="2:8" ht="25.5">
      <c r="B1205" s="358" t="s">
        <v>1624</v>
      </c>
      <c r="C1205" s="93" t="s">
        <v>1625</v>
      </c>
      <c r="D1205" s="94" t="s">
        <v>12</v>
      </c>
      <c r="E1205" s="94" t="s">
        <v>1128</v>
      </c>
      <c r="F1205" s="90">
        <v>10</v>
      </c>
      <c r="G1205" s="359">
        <v>26.47</v>
      </c>
      <c r="H1205" s="124">
        <f t="shared" si="116"/>
        <v>264.7</v>
      </c>
    </row>
    <row r="1206" spans="2:8">
      <c r="B1206" s="717" t="s">
        <v>1231</v>
      </c>
      <c r="C1206" s="718"/>
      <c r="D1206" s="718"/>
      <c r="E1206" s="718"/>
      <c r="F1206" s="718"/>
      <c r="G1206" s="719"/>
      <c r="H1206" s="125">
        <f>SUM(H1200:H1205)</f>
        <v>1595.63175</v>
      </c>
    </row>
    <row r="1207" spans="2:8">
      <c r="B1207" s="723"/>
      <c r="C1207" s="724"/>
      <c r="D1207" s="724"/>
      <c r="E1207" s="724"/>
      <c r="F1207" s="724"/>
      <c r="G1207" s="724"/>
      <c r="H1207" s="725"/>
    </row>
    <row r="1208" spans="2:8" ht="25.5" customHeight="1">
      <c r="B1208" s="384" t="s">
        <v>2096</v>
      </c>
      <c r="C1208" s="117" t="s">
        <v>825</v>
      </c>
      <c r="D1208" s="89" t="s">
        <v>12</v>
      </c>
      <c r="E1208" s="89" t="s">
        <v>663</v>
      </c>
      <c r="F1208" s="90"/>
      <c r="G1208" s="91"/>
      <c r="H1208" s="92"/>
    </row>
    <row r="1209" spans="2:8" ht="25.5">
      <c r="B1209" s="388" t="s">
        <v>1657</v>
      </c>
      <c r="C1209" s="93" t="s">
        <v>1658</v>
      </c>
      <c r="D1209" s="94" t="s">
        <v>401</v>
      </c>
      <c r="E1209" s="94" t="s">
        <v>37</v>
      </c>
      <c r="F1209" s="90">
        <v>1</v>
      </c>
      <c r="G1209" s="359">
        <f>147.5*1.2173</f>
        <v>179.55175</v>
      </c>
      <c r="H1209" s="92">
        <f>F1209*G1209</f>
        <v>179.55175</v>
      </c>
    </row>
    <row r="1210" spans="2:8" ht="51">
      <c r="B1210" s="388">
        <v>12043</v>
      </c>
      <c r="C1210" s="93" t="s">
        <v>1654</v>
      </c>
      <c r="D1210" s="94" t="s">
        <v>401</v>
      </c>
      <c r="E1210" s="94" t="s">
        <v>37</v>
      </c>
      <c r="F1210" s="90">
        <v>1</v>
      </c>
      <c r="G1210" s="359">
        <v>1713.52</v>
      </c>
      <c r="H1210" s="92">
        <f t="shared" ref="H1210:H1214" si="117">F1210*G1210</f>
        <v>1713.52</v>
      </c>
    </row>
    <row r="1211" spans="2:8" ht="25.5">
      <c r="B1211" s="388">
        <v>2370</v>
      </c>
      <c r="C1211" s="93" t="s">
        <v>1655</v>
      </c>
      <c r="D1211" s="94" t="s">
        <v>401</v>
      </c>
      <c r="E1211" s="94" t="s">
        <v>37</v>
      </c>
      <c r="F1211" s="90">
        <v>26</v>
      </c>
      <c r="G1211" s="359">
        <v>15.45</v>
      </c>
      <c r="H1211" s="92">
        <f t="shared" si="117"/>
        <v>401.7</v>
      </c>
    </row>
    <row r="1212" spans="2:8" ht="25.5">
      <c r="B1212" s="388">
        <v>2373</v>
      </c>
      <c r="C1212" s="93" t="s">
        <v>1651</v>
      </c>
      <c r="D1212" s="94" t="s">
        <v>401</v>
      </c>
      <c r="E1212" s="94" t="s">
        <v>37</v>
      </c>
      <c r="F1212" s="90">
        <v>1</v>
      </c>
      <c r="G1212" s="359">
        <v>146.12</v>
      </c>
      <c r="H1212" s="92">
        <f t="shared" si="117"/>
        <v>146.12</v>
      </c>
    </row>
    <row r="1213" spans="2:8" ht="25.5">
      <c r="B1213" s="388" t="s">
        <v>1622</v>
      </c>
      <c r="C1213" s="93" t="s">
        <v>1623</v>
      </c>
      <c r="D1213" s="94" t="s">
        <v>12</v>
      </c>
      <c r="E1213" s="94" t="s">
        <v>1128</v>
      </c>
      <c r="F1213" s="90">
        <v>16</v>
      </c>
      <c r="G1213" s="359">
        <v>20.43</v>
      </c>
      <c r="H1213" s="92">
        <f t="shared" si="117"/>
        <v>326.88</v>
      </c>
    </row>
    <row r="1214" spans="2:8" ht="25.5">
      <c r="B1214" s="388" t="s">
        <v>1624</v>
      </c>
      <c r="C1214" s="93" t="s">
        <v>1625</v>
      </c>
      <c r="D1214" s="94" t="s">
        <v>12</v>
      </c>
      <c r="E1214" s="94" t="s">
        <v>1128</v>
      </c>
      <c r="F1214" s="90">
        <v>16</v>
      </c>
      <c r="G1214" s="359">
        <v>26.47</v>
      </c>
      <c r="H1214" s="92">
        <f t="shared" si="117"/>
        <v>423.52</v>
      </c>
    </row>
    <row r="1215" spans="2:8">
      <c r="B1215" s="769" t="s">
        <v>1231</v>
      </c>
      <c r="C1215" s="770"/>
      <c r="D1215" s="770"/>
      <c r="E1215" s="770"/>
      <c r="F1215" s="770"/>
      <c r="G1215" s="771"/>
      <c r="H1215" s="95">
        <f>SUM(H1209:H1214)</f>
        <v>3191.2917499999999</v>
      </c>
    </row>
    <row r="1216" spans="2:8">
      <c r="B1216" s="769"/>
      <c r="C1216" s="770"/>
      <c r="D1216" s="770"/>
      <c r="E1216" s="770"/>
      <c r="F1216" s="770"/>
      <c r="G1216" s="770"/>
      <c r="H1216" s="771"/>
    </row>
    <row r="1217" spans="2:8" ht="25.5" customHeight="1">
      <c r="B1217" s="384" t="s">
        <v>2097</v>
      </c>
      <c r="C1217" s="117" t="s">
        <v>826</v>
      </c>
      <c r="D1217" s="89" t="s">
        <v>12</v>
      </c>
      <c r="E1217" s="89" t="s">
        <v>663</v>
      </c>
      <c r="F1217" s="90"/>
      <c r="G1217" s="91"/>
      <c r="H1217" s="92"/>
    </row>
    <row r="1218" spans="2:8" ht="25.5">
      <c r="B1218" s="388" t="s">
        <v>1657</v>
      </c>
      <c r="C1218" s="93" t="s">
        <v>1658</v>
      </c>
      <c r="D1218" s="94" t="s">
        <v>401</v>
      </c>
      <c r="E1218" s="94" t="s">
        <v>37</v>
      </c>
      <c r="F1218" s="90">
        <v>1</v>
      </c>
      <c r="G1218" s="359">
        <f>147.5*1.2173</f>
        <v>179.55175</v>
      </c>
      <c r="H1218" s="92">
        <f>F1218*G1218</f>
        <v>179.55175</v>
      </c>
    </row>
    <row r="1219" spans="2:8" ht="25.5">
      <c r="B1219" s="388">
        <v>2370</v>
      </c>
      <c r="C1219" s="93" t="s">
        <v>1655</v>
      </c>
      <c r="D1219" s="94" t="s">
        <v>401</v>
      </c>
      <c r="E1219" s="94" t="s">
        <v>37</v>
      </c>
      <c r="F1219" s="90">
        <v>29</v>
      </c>
      <c r="G1219" s="359">
        <v>15.45</v>
      </c>
      <c r="H1219" s="92">
        <f t="shared" ref="H1219:H1223" si="118">F1219*G1219</f>
        <v>448.04999999999995</v>
      </c>
    </row>
    <row r="1220" spans="2:8" ht="25.5">
      <c r="B1220" s="388">
        <v>2373</v>
      </c>
      <c r="C1220" s="93" t="s">
        <v>1651</v>
      </c>
      <c r="D1220" s="94" t="s">
        <v>401</v>
      </c>
      <c r="E1220" s="94" t="s">
        <v>37</v>
      </c>
      <c r="F1220" s="90">
        <v>1</v>
      </c>
      <c r="G1220" s="359">
        <v>146.12</v>
      </c>
      <c r="H1220" s="92">
        <f t="shared" si="118"/>
        <v>146.12</v>
      </c>
    </row>
    <row r="1221" spans="2:8" ht="51">
      <c r="B1221" s="388">
        <v>12043</v>
      </c>
      <c r="C1221" s="93" t="s">
        <v>2098</v>
      </c>
      <c r="D1221" s="94" t="s">
        <v>12</v>
      </c>
      <c r="E1221" s="94" t="s">
        <v>37</v>
      </c>
      <c r="F1221" s="90">
        <v>1</v>
      </c>
      <c r="G1221" s="359">
        <v>1713.52</v>
      </c>
      <c r="H1221" s="92">
        <f t="shared" si="118"/>
        <v>1713.52</v>
      </c>
    </row>
    <row r="1222" spans="2:8" ht="25.5">
      <c r="B1222" s="388" t="s">
        <v>1622</v>
      </c>
      <c r="C1222" s="93" t="s">
        <v>1623</v>
      </c>
      <c r="D1222" s="94" t="s">
        <v>12</v>
      </c>
      <c r="E1222" s="94" t="s">
        <v>1128</v>
      </c>
      <c r="F1222" s="90">
        <v>20</v>
      </c>
      <c r="G1222" s="359">
        <v>20.43</v>
      </c>
      <c r="H1222" s="92">
        <f t="shared" si="118"/>
        <v>408.6</v>
      </c>
    </row>
    <row r="1223" spans="2:8" ht="25.5">
      <c r="B1223" s="388" t="s">
        <v>1624</v>
      </c>
      <c r="C1223" s="93" t="s">
        <v>1625</v>
      </c>
      <c r="D1223" s="94" t="s">
        <v>12</v>
      </c>
      <c r="E1223" s="94" t="s">
        <v>1128</v>
      </c>
      <c r="F1223" s="90">
        <v>20</v>
      </c>
      <c r="G1223" s="359">
        <v>26.47</v>
      </c>
      <c r="H1223" s="92">
        <f t="shared" si="118"/>
        <v>529.4</v>
      </c>
    </row>
    <row r="1224" spans="2:8">
      <c r="B1224" s="769" t="s">
        <v>1231</v>
      </c>
      <c r="C1224" s="770"/>
      <c r="D1224" s="770"/>
      <c r="E1224" s="770"/>
      <c r="F1224" s="770"/>
      <c r="G1224" s="771"/>
      <c r="H1224" s="95">
        <f>SUM(H1218:H1223)</f>
        <v>3425.2417500000001</v>
      </c>
    </row>
    <row r="1225" spans="2:8">
      <c r="B1225" s="726"/>
      <c r="C1225" s="727"/>
      <c r="D1225" s="727"/>
      <c r="E1225" s="727"/>
      <c r="F1225" s="727"/>
      <c r="G1225" s="727"/>
      <c r="H1225" s="728"/>
    </row>
    <row r="1226" spans="2:8" ht="25.5" customHeight="1">
      <c r="B1226" s="367" t="s">
        <v>2099</v>
      </c>
      <c r="C1226" s="118" t="s">
        <v>827</v>
      </c>
      <c r="D1226" s="119" t="s">
        <v>12</v>
      </c>
      <c r="E1226" s="119" t="s">
        <v>663</v>
      </c>
      <c r="F1226" s="120"/>
      <c r="G1226" s="121"/>
      <c r="H1226" s="122"/>
    </row>
    <row r="1227" spans="2:8" ht="25.5">
      <c r="B1227" s="358" t="s">
        <v>1657</v>
      </c>
      <c r="C1227" s="93" t="s">
        <v>1658</v>
      </c>
      <c r="D1227" s="94" t="s">
        <v>401</v>
      </c>
      <c r="E1227" s="94" t="s">
        <v>37</v>
      </c>
      <c r="F1227" s="90">
        <v>1</v>
      </c>
      <c r="G1227" s="359">
        <f>147.5*1.2173</f>
        <v>179.55175</v>
      </c>
      <c r="H1227" s="124">
        <f>F1227*G1227</f>
        <v>179.55175</v>
      </c>
    </row>
    <row r="1228" spans="2:8" ht="25.5">
      <c r="B1228" s="358">
        <v>2370</v>
      </c>
      <c r="C1228" s="93" t="s">
        <v>1655</v>
      </c>
      <c r="D1228" s="94" t="s">
        <v>401</v>
      </c>
      <c r="E1228" s="94" t="s">
        <v>37</v>
      </c>
      <c r="F1228" s="90">
        <v>33</v>
      </c>
      <c r="G1228" s="359">
        <v>15.45</v>
      </c>
      <c r="H1228" s="124">
        <f t="shared" ref="H1228:H1232" si="119">F1228*G1228</f>
        <v>509.84999999999997</v>
      </c>
    </row>
    <row r="1229" spans="2:8" ht="25.5">
      <c r="B1229" s="358">
        <v>2373</v>
      </c>
      <c r="C1229" s="93" t="s">
        <v>1651</v>
      </c>
      <c r="D1229" s="94" t="s">
        <v>401</v>
      </c>
      <c r="E1229" s="94" t="s">
        <v>37</v>
      </c>
      <c r="F1229" s="90">
        <v>1</v>
      </c>
      <c r="G1229" s="359">
        <v>146.12</v>
      </c>
      <c r="H1229" s="124">
        <f t="shared" si="119"/>
        <v>146.12</v>
      </c>
    </row>
    <row r="1230" spans="2:8" ht="51">
      <c r="B1230" s="358">
        <v>12043</v>
      </c>
      <c r="C1230" s="93" t="s">
        <v>2098</v>
      </c>
      <c r="D1230" s="94" t="s">
        <v>12</v>
      </c>
      <c r="E1230" s="94" t="s">
        <v>37</v>
      </c>
      <c r="F1230" s="90">
        <v>1</v>
      </c>
      <c r="G1230" s="359">
        <v>1713.52</v>
      </c>
      <c r="H1230" s="124">
        <f t="shared" si="119"/>
        <v>1713.52</v>
      </c>
    </row>
    <row r="1231" spans="2:8" ht="25.5">
      <c r="B1231" s="358" t="s">
        <v>1622</v>
      </c>
      <c r="C1231" s="93" t="s">
        <v>1623</v>
      </c>
      <c r="D1231" s="94" t="s">
        <v>12</v>
      </c>
      <c r="E1231" s="94" t="s">
        <v>1128</v>
      </c>
      <c r="F1231" s="90">
        <v>22</v>
      </c>
      <c r="G1231" s="359">
        <v>20.43</v>
      </c>
      <c r="H1231" s="124">
        <f t="shared" si="119"/>
        <v>449.46</v>
      </c>
    </row>
    <row r="1232" spans="2:8" ht="25.5">
      <c r="B1232" s="358" t="s">
        <v>1624</v>
      </c>
      <c r="C1232" s="93" t="s">
        <v>1625</v>
      </c>
      <c r="D1232" s="94" t="s">
        <v>12</v>
      </c>
      <c r="E1232" s="94" t="s">
        <v>1128</v>
      </c>
      <c r="F1232" s="90">
        <v>22</v>
      </c>
      <c r="G1232" s="359">
        <v>26.47</v>
      </c>
      <c r="H1232" s="124">
        <f t="shared" si="119"/>
        <v>582.33999999999992</v>
      </c>
    </row>
    <row r="1233" spans="2:8">
      <c r="B1233" s="717" t="s">
        <v>1231</v>
      </c>
      <c r="C1233" s="718"/>
      <c r="D1233" s="718"/>
      <c r="E1233" s="718"/>
      <c r="F1233" s="718"/>
      <c r="G1233" s="719"/>
      <c r="H1233" s="125">
        <f>SUM(H1227:H1232)</f>
        <v>3580.8417499999996</v>
      </c>
    </row>
    <row r="1234" spans="2:8">
      <c r="B1234" s="756"/>
      <c r="C1234" s="757"/>
      <c r="D1234" s="757"/>
      <c r="E1234" s="757"/>
      <c r="F1234" s="757"/>
      <c r="G1234" s="757"/>
      <c r="H1234" s="758"/>
    </row>
    <row r="1235" spans="2:8" ht="25.5" customHeight="1">
      <c r="B1235" s="367" t="s">
        <v>2100</v>
      </c>
      <c r="C1235" s="118" t="s">
        <v>828</v>
      </c>
      <c r="D1235" s="119" t="s">
        <v>12</v>
      </c>
      <c r="E1235" s="119" t="s">
        <v>663</v>
      </c>
      <c r="F1235" s="120"/>
      <c r="G1235" s="121"/>
      <c r="H1235" s="122"/>
    </row>
    <row r="1236" spans="2:8" ht="25.5">
      <c r="B1236" s="358">
        <v>2370</v>
      </c>
      <c r="C1236" s="93" t="s">
        <v>1655</v>
      </c>
      <c r="D1236" s="94" t="s">
        <v>401</v>
      </c>
      <c r="E1236" s="94" t="s">
        <v>37</v>
      </c>
      <c r="F1236" s="90">
        <v>11</v>
      </c>
      <c r="G1236" s="359">
        <v>15.45</v>
      </c>
      <c r="H1236" s="124">
        <f>F1236*G1236</f>
        <v>169.95</v>
      </c>
    </row>
    <row r="1237" spans="2:8" ht="25.5">
      <c r="B1237" s="358">
        <v>2392</v>
      </c>
      <c r="C1237" s="93" t="s">
        <v>1652</v>
      </c>
      <c r="D1237" s="94" t="s">
        <v>401</v>
      </c>
      <c r="E1237" s="94" t="s">
        <v>37</v>
      </c>
      <c r="F1237" s="90">
        <v>1</v>
      </c>
      <c r="G1237" s="359">
        <v>103.72</v>
      </c>
      <c r="H1237" s="124">
        <f t="shared" ref="H1237:H1241" si="120">F1237*G1237</f>
        <v>103.72</v>
      </c>
    </row>
    <row r="1238" spans="2:8" ht="25.5">
      <c r="B1238" s="358" t="s">
        <v>2817</v>
      </c>
      <c r="C1238" s="93" t="s">
        <v>1653</v>
      </c>
      <c r="D1238" s="94" t="s">
        <v>401</v>
      </c>
      <c r="E1238" s="94" t="s">
        <v>37</v>
      </c>
      <c r="F1238" s="90">
        <v>1</v>
      </c>
      <c r="G1238" s="359">
        <f>263*1.2173</f>
        <v>320.1499</v>
      </c>
      <c r="H1238" s="124">
        <f t="shared" si="120"/>
        <v>320.1499</v>
      </c>
    </row>
    <row r="1239" spans="2:8" ht="51">
      <c r="B1239" s="358">
        <v>13395</v>
      </c>
      <c r="C1239" s="93" t="s">
        <v>2092</v>
      </c>
      <c r="D1239" s="94" t="s">
        <v>12</v>
      </c>
      <c r="E1239" s="94" t="s">
        <v>37</v>
      </c>
      <c r="F1239" s="90">
        <v>1</v>
      </c>
      <c r="G1239" s="359">
        <v>673.41</v>
      </c>
      <c r="H1239" s="124">
        <f t="shared" si="120"/>
        <v>673.41</v>
      </c>
    </row>
    <row r="1240" spans="2:8" ht="25.5">
      <c r="B1240" s="358" t="s">
        <v>1622</v>
      </c>
      <c r="C1240" s="93" t="s">
        <v>1623</v>
      </c>
      <c r="D1240" s="94" t="s">
        <v>12</v>
      </c>
      <c r="E1240" s="94" t="s">
        <v>1128</v>
      </c>
      <c r="F1240" s="90">
        <v>10</v>
      </c>
      <c r="G1240" s="359">
        <v>20.43</v>
      </c>
      <c r="H1240" s="124">
        <f t="shared" si="120"/>
        <v>204.3</v>
      </c>
    </row>
    <row r="1241" spans="2:8" ht="25.5">
      <c r="B1241" s="358" t="s">
        <v>1624</v>
      </c>
      <c r="C1241" s="93" t="s">
        <v>1625</v>
      </c>
      <c r="D1241" s="94" t="s">
        <v>12</v>
      </c>
      <c r="E1241" s="94" t="s">
        <v>1128</v>
      </c>
      <c r="F1241" s="90">
        <v>10</v>
      </c>
      <c r="G1241" s="359">
        <v>26.47</v>
      </c>
      <c r="H1241" s="124">
        <f t="shared" si="120"/>
        <v>264.7</v>
      </c>
    </row>
    <row r="1242" spans="2:8">
      <c r="B1242" s="717" t="s">
        <v>1231</v>
      </c>
      <c r="C1242" s="718"/>
      <c r="D1242" s="718"/>
      <c r="E1242" s="718"/>
      <c r="F1242" s="718"/>
      <c r="G1242" s="719"/>
      <c r="H1242" s="125">
        <f>SUM(H1236:H1241)</f>
        <v>1736.2298999999998</v>
      </c>
    </row>
    <row r="1243" spans="2:8">
      <c r="B1243" s="756"/>
      <c r="C1243" s="757"/>
      <c r="D1243" s="757"/>
      <c r="E1243" s="757"/>
      <c r="F1243" s="757"/>
      <c r="G1243" s="757"/>
      <c r="H1243" s="758"/>
    </row>
    <row r="1244" spans="2:8" ht="25.5">
      <c r="B1244" s="367" t="s">
        <v>2101</v>
      </c>
      <c r="C1244" s="118" t="s">
        <v>875</v>
      </c>
      <c r="D1244" s="119" t="s">
        <v>12</v>
      </c>
      <c r="E1244" s="119" t="s">
        <v>37</v>
      </c>
      <c r="F1244" s="120"/>
      <c r="G1244" s="121"/>
      <c r="H1244" s="122"/>
    </row>
    <row r="1245" spans="2:8" ht="25.5">
      <c r="B1245" s="358">
        <v>1106</v>
      </c>
      <c r="C1245" s="93" t="s">
        <v>1646</v>
      </c>
      <c r="D1245" s="94" t="s">
        <v>401</v>
      </c>
      <c r="E1245" s="94" t="s">
        <v>112</v>
      </c>
      <c r="F1245" s="90">
        <v>3.0095999999999998</v>
      </c>
      <c r="G1245" s="359">
        <v>1.2</v>
      </c>
      <c r="H1245" s="124">
        <f>F1245*G1245</f>
        <v>3.6115199999999996</v>
      </c>
    </row>
    <row r="1246" spans="2:8" ht="38.25">
      <c r="B1246" s="358">
        <v>1358</v>
      </c>
      <c r="C1246" s="93" t="s">
        <v>1341</v>
      </c>
      <c r="D1246" s="94" t="s">
        <v>401</v>
      </c>
      <c r="E1246" s="94" t="s">
        <v>24</v>
      </c>
      <c r="F1246" s="90" t="s">
        <v>1275</v>
      </c>
      <c r="G1246" s="359">
        <v>68.17</v>
      </c>
      <c r="H1246" s="124">
        <f t="shared" ref="H1246:H1255" si="121">F1246*G1246</f>
        <v>4.0902000000000003</v>
      </c>
    </row>
    <row r="1247" spans="2:8" ht="25.5">
      <c r="B1247" s="358">
        <v>1379</v>
      </c>
      <c r="C1247" s="93" t="s">
        <v>1514</v>
      </c>
      <c r="D1247" s="94" t="s">
        <v>401</v>
      </c>
      <c r="E1247" s="94" t="s">
        <v>112</v>
      </c>
      <c r="F1247" s="90">
        <v>18.508400000000002</v>
      </c>
      <c r="G1247" s="359">
        <v>0.66</v>
      </c>
      <c r="H1247" s="124">
        <f t="shared" si="121"/>
        <v>12.215544000000001</v>
      </c>
    </row>
    <row r="1248" spans="2:8" ht="38.25">
      <c r="B1248" s="358">
        <v>14112</v>
      </c>
      <c r="C1248" s="93" t="s">
        <v>1647</v>
      </c>
      <c r="D1248" s="94" t="s">
        <v>401</v>
      </c>
      <c r="E1248" s="94" t="s">
        <v>37</v>
      </c>
      <c r="F1248" s="90">
        <v>1</v>
      </c>
      <c r="G1248" s="359">
        <v>322.19</v>
      </c>
      <c r="H1248" s="124">
        <f t="shared" si="121"/>
        <v>322.19</v>
      </c>
    </row>
    <row r="1249" spans="2:8" ht="38.25">
      <c r="B1249" s="358">
        <v>370</v>
      </c>
      <c r="C1249" s="93" t="s">
        <v>1557</v>
      </c>
      <c r="D1249" s="94" t="s">
        <v>401</v>
      </c>
      <c r="E1249" s="94" t="s">
        <v>75</v>
      </c>
      <c r="F1249" s="90" t="s">
        <v>1659</v>
      </c>
      <c r="G1249" s="359">
        <v>207.93</v>
      </c>
      <c r="H1249" s="124">
        <f t="shared" si="121"/>
        <v>13.577828999999999</v>
      </c>
    </row>
    <row r="1250" spans="2:8">
      <c r="B1250" s="358">
        <v>43059</v>
      </c>
      <c r="C1250" s="93" t="s">
        <v>1648</v>
      </c>
      <c r="D1250" s="94" t="s">
        <v>401</v>
      </c>
      <c r="E1250" s="94" t="s">
        <v>112</v>
      </c>
      <c r="F1250" s="90">
        <v>2.1560000000000001</v>
      </c>
      <c r="G1250" s="359">
        <v>9.2899999999999991</v>
      </c>
      <c r="H1250" s="124">
        <f t="shared" si="121"/>
        <v>20.029239999999998</v>
      </c>
    </row>
    <row r="1251" spans="2:8" ht="38.25">
      <c r="B1251" s="358">
        <v>4721</v>
      </c>
      <c r="C1251" s="93" t="s">
        <v>1649</v>
      </c>
      <c r="D1251" s="94" t="s">
        <v>401</v>
      </c>
      <c r="E1251" s="94" t="s">
        <v>75</v>
      </c>
      <c r="F1251" s="90" t="s">
        <v>1345</v>
      </c>
      <c r="G1251" s="359">
        <v>185.74</v>
      </c>
      <c r="H1251" s="124">
        <f t="shared" si="121"/>
        <v>6.7795100000000001</v>
      </c>
    </row>
    <row r="1252" spans="2:8" ht="38.25">
      <c r="B1252" s="358">
        <v>4722</v>
      </c>
      <c r="C1252" s="93" t="s">
        <v>1339</v>
      </c>
      <c r="D1252" s="94" t="s">
        <v>401</v>
      </c>
      <c r="E1252" s="94" t="s">
        <v>75</v>
      </c>
      <c r="F1252" s="90" t="s">
        <v>1344</v>
      </c>
      <c r="G1252" s="359">
        <v>175.45</v>
      </c>
      <c r="H1252" s="124">
        <f t="shared" si="121"/>
        <v>0.70179999999999998</v>
      </c>
    </row>
    <row r="1253" spans="2:8" ht="25.5">
      <c r="B1253" s="358">
        <v>7258</v>
      </c>
      <c r="C1253" s="93" t="s">
        <v>1398</v>
      </c>
      <c r="D1253" s="94" t="s">
        <v>401</v>
      </c>
      <c r="E1253" s="94" t="s">
        <v>37</v>
      </c>
      <c r="F1253" s="90">
        <v>60.48</v>
      </c>
      <c r="G1253" s="359">
        <v>0.68</v>
      </c>
      <c r="H1253" s="124">
        <f t="shared" si="121"/>
        <v>41.126400000000004</v>
      </c>
    </row>
    <row r="1254" spans="2:8" ht="25.5">
      <c r="B1254" s="358" t="s">
        <v>1337</v>
      </c>
      <c r="C1254" s="93" t="s">
        <v>1338</v>
      </c>
      <c r="D1254" s="94" t="s">
        <v>12</v>
      </c>
      <c r="E1254" s="94" t="s">
        <v>1128</v>
      </c>
      <c r="F1254" s="90">
        <v>1.6789000000000001</v>
      </c>
      <c r="G1254" s="359">
        <v>26.2</v>
      </c>
      <c r="H1254" s="124">
        <f t="shared" si="121"/>
        <v>43.987180000000002</v>
      </c>
    </row>
    <row r="1255" spans="2:8" ht="25.5">
      <c r="B1255" s="358" t="s">
        <v>1285</v>
      </c>
      <c r="C1255" s="93" t="s">
        <v>1286</v>
      </c>
      <c r="D1255" s="94" t="s">
        <v>12</v>
      </c>
      <c r="E1255" s="94" t="s">
        <v>1128</v>
      </c>
      <c r="F1255" s="90">
        <v>4.4832000000000001</v>
      </c>
      <c r="G1255" s="359">
        <v>19.39</v>
      </c>
      <c r="H1255" s="124">
        <f t="shared" si="121"/>
        <v>86.929248000000001</v>
      </c>
    </row>
    <row r="1256" spans="2:8">
      <c r="B1256" s="717" t="s">
        <v>1231</v>
      </c>
      <c r="C1256" s="718"/>
      <c r="D1256" s="718"/>
      <c r="E1256" s="718"/>
      <c r="F1256" s="718"/>
      <c r="G1256" s="719"/>
      <c r="H1256" s="125">
        <f>SUM(H1245:H1255)</f>
        <v>555.238471</v>
      </c>
    </row>
    <row r="1257" spans="2:8">
      <c r="B1257" s="756"/>
      <c r="C1257" s="757"/>
      <c r="D1257" s="757"/>
      <c r="E1257" s="757"/>
      <c r="F1257" s="757"/>
      <c r="G1257" s="757"/>
      <c r="H1257" s="758"/>
    </row>
    <row r="1258" spans="2:8" ht="63.75">
      <c r="B1258" s="367" t="s">
        <v>2102</v>
      </c>
      <c r="C1258" s="118" t="s">
        <v>891</v>
      </c>
      <c r="D1258" s="119" t="s">
        <v>12</v>
      </c>
      <c r="E1258" s="119" t="s">
        <v>15</v>
      </c>
      <c r="F1258" s="120"/>
      <c r="G1258" s="121"/>
      <c r="H1258" s="122"/>
    </row>
    <row r="1259" spans="2:8">
      <c r="B1259" s="358">
        <v>88247</v>
      </c>
      <c r="C1259" s="93" t="s">
        <v>1256</v>
      </c>
      <c r="D1259" s="94" t="s">
        <v>1228</v>
      </c>
      <c r="E1259" s="94" t="s">
        <v>1128</v>
      </c>
      <c r="F1259" s="90" t="s">
        <v>1559</v>
      </c>
      <c r="G1259" s="359">
        <v>20.43</v>
      </c>
      <c r="H1259" s="124">
        <f>F1259*G1259</f>
        <v>11.032200000000001</v>
      </c>
    </row>
    <row r="1260" spans="2:8">
      <c r="B1260" s="358">
        <v>88264</v>
      </c>
      <c r="C1260" s="93" t="s">
        <v>1257</v>
      </c>
      <c r="D1260" s="94" t="s">
        <v>1228</v>
      </c>
      <c r="E1260" s="94" t="s">
        <v>1128</v>
      </c>
      <c r="F1260" s="90" t="s">
        <v>1559</v>
      </c>
      <c r="G1260" s="359">
        <v>26.47</v>
      </c>
      <c r="H1260" s="124">
        <f t="shared" ref="H1260:H1270" si="122">F1260*G1260</f>
        <v>14.293800000000001</v>
      </c>
    </row>
    <row r="1261" spans="2:8" ht="25.5">
      <c r="B1261" s="358" t="s">
        <v>1660</v>
      </c>
      <c r="C1261" s="93" t="s">
        <v>1661</v>
      </c>
      <c r="D1261" s="94" t="s">
        <v>401</v>
      </c>
      <c r="E1261" s="94" t="s">
        <v>15</v>
      </c>
      <c r="F1261" s="90">
        <v>1.2</v>
      </c>
      <c r="G1261" s="359">
        <f>7.84*1.2173</f>
        <v>9.5436320000000006</v>
      </c>
      <c r="H1261" s="124">
        <f t="shared" si="122"/>
        <v>11.4523584</v>
      </c>
    </row>
    <row r="1262" spans="2:8" ht="38.25">
      <c r="B1262" s="358" t="s">
        <v>1662</v>
      </c>
      <c r="C1262" s="93" t="s">
        <v>1663</v>
      </c>
      <c r="D1262" s="94" t="s">
        <v>401</v>
      </c>
      <c r="E1262" s="94" t="s">
        <v>15</v>
      </c>
      <c r="F1262" s="90" t="s">
        <v>1466</v>
      </c>
      <c r="G1262" s="359">
        <f>3.91*1.2173</f>
        <v>4.7596430000000005</v>
      </c>
      <c r="H1262" s="124">
        <f t="shared" si="122"/>
        <v>3.8077144000000005</v>
      </c>
    </row>
    <row r="1263" spans="2:8">
      <c r="B1263" s="358">
        <v>39997</v>
      </c>
      <c r="C1263" s="93" t="s">
        <v>2103</v>
      </c>
      <c r="D1263" s="94" t="s">
        <v>401</v>
      </c>
      <c r="E1263" s="94" t="s">
        <v>37</v>
      </c>
      <c r="F1263" s="90">
        <v>8.0033333330000005</v>
      </c>
      <c r="G1263" s="359">
        <v>0.34</v>
      </c>
      <c r="H1263" s="124">
        <f t="shared" si="122"/>
        <v>2.7211333332200005</v>
      </c>
    </row>
    <row r="1264" spans="2:8">
      <c r="B1264" s="358" t="s">
        <v>2818</v>
      </c>
      <c r="C1264" s="93" t="s">
        <v>2104</v>
      </c>
      <c r="D1264" s="94" t="s">
        <v>401</v>
      </c>
      <c r="E1264" s="94" t="s">
        <v>37</v>
      </c>
      <c r="F1264" s="90">
        <v>8.0033333330000005</v>
      </c>
      <c r="G1264" s="359">
        <v>0.41</v>
      </c>
      <c r="H1264" s="124">
        <f t="shared" si="122"/>
        <v>3.2813666665299999</v>
      </c>
    </row>
    <row r="1265" spans="2:8" ht="25.5">
      <c r="B1265" s="358" t="s">
        <v>2105</v>
      </c>
      <c r="C1265" s="93" t="s">
        <v>2106</v>
      </c>
      <c r="D1265" s="94" t="s">
        <v>401</v>
      </c>
      <c r="E1265" s="94" t="s">
        <v>37</v>
      </c>
      <c r="F1265" s="90" t="s">
        <v>1432</v>
      </c>
      <c r="G1265" s="359">
        <v>10.69</v>
      </c>
      <c r="H1265" s="124">
        <f t="shared" si="122"/>
        <v>7.1623000000000001</v>
      </c>
    </row>
    <row r="1266" spans="2:8">
      <c r="B1266" s="358" t="s">
        <v>1664</v>
      </c>
      <c r="C1266" s="93" t="s">
        <v>1665</v>
      </c>
      <c r="D1266" s="94" t="s">
        <v>401</v>
      </c>
      <c r="E1266" s="94" t="s">
        <v>37</v>
      </c>
      <c r="F1266" s="90" t="s">
        <v>1432</v>
      </c>
      <c r="G1266" s="359">
        <f>1.32*1.2173</f>
        <v>1.6068360000000002</v>
      </c>
      <c r="H1266" s="124">
        <f t="shared" si="122"/>
        <v>1.0765801200000003</v>
      </c>
    </row>
    <row r="1267" spans="2:8" ht="38.25">
      <c r="B1267" s="358" t="s">
        <v>2107</v>
      </c>
      <c r="C1267" s="93" t="s">
        <v>2108</v>
      </c>
      <c r="D1267" s="94" t="s">
        <v>401</v>
      </c>
      <c r="E1267" s="94" t="s">
        <v>37</v>
      </c>
      <c r="F1267" s="90">
        <v>0.18804985299999999</v>
      </c>
      <c r="G1267" s="359">
        <v>39.450000000000003</v>
      </c>
      <c r="H1267" s="124">
        <f t="shared" si="122"/>
        <v>7.4185667008500005</v>
      </c>
    </row>
    <row r="1268" spans="2:8">
      <c r="B1268" s="358" t="s">
        <v>2819</v>
      </c>
      <c r="C1268" s="93" t="s">
        <v>1666</v>
      </c>
      <c r="D1268" s="94" t="s">
        <v>401</v>
      </c>
      <c r="E1268" s="94" t="s">
        <v>37</v>
      </c>
      <c r="F1268" s="90">
        <v>2.67</v>
      </c>
      <c r="G1268" s="359">
        <v>0.25</v>
      </c>
      <c r="H1268" s="124">
        <f t="shared" si="122"/>
        <v>0.66749999999999998</v>
      </c>
    </row>
    <row r="1269" spans="2:8">
      <c r="B1269" s="358" t="s">
        <v>1667</v>
      </c>
      <c r="C1269" s="93" t="s">
        <v>1668</v>
      </c>
      <c r="D1269" s="94" t="s">
        <v>401</v>
      </c>
      <c r="E1269" s="94" t="s">
        <v>37</v>
      </c>
      <c r="F1269" s="90" t="s">
        <v>1669</v>
      </c>
      <c r="G1269" s="359">
        <f>3.72*1.2173</f>
        <v>4.5283560000000005</v>
      </c>
      <c r="H1269" s="124">
        <f t="shared" si="122"/>
        <v>3.0189040015094522</v>
      </c>
    </row>
    <row r="1270" spans="2:8" ht="38.25">
      <c r="B1270" s="358" t="s">
        <v>1670</v>
      </c>
      <c r="C1270" s="93" t="s">
        <v>1671</v>
      </c>
      <c r="D1270" s="94" t="s">
        <v>401</v>
      </c>
      <c r="E1270" s="94" t="s">
        <v>37</v>
      </c>
      <c r="F1270" s="90">
        <v>2</v>
      </c>
      <c r="G1270" s="359">
        <f>0.85*1.2173</f>
        <v>1.034705</v>
      </c>
      <c r="H1270" s="124">
        <f t="shared" si="122"/>
        <v>2.06941</v>
      </c>
    </row>
    <row r="1271" spans="2:8">
      <c r="B1271" s="717" t="s">
        <v>1231</v>
      </c>
      <c r="C1271" s="718"/>
      <c r="D1271" s="718"/>
      <c r="E1271" s="718"/>
      <c r="F1271" s="718"/>
      <c r="G1271" s="719"/>
      <c r="H1271" s="125">
        <f>SUM(H1259:H1270)</f>
        <v>68.001833622109459</v>
      </c>
    </row>
    <row r="1272" spans="2:8">
      <c r="B1272" s="756"/>
      <c r="C1272" s="757"/>
      <c r="D1272" s="757"/>
      <c r="E1272" s="757"/>
      <c r="F1272" s="757"/>
      <c r="G1272" s="757"/>
      <c r="H1272" s="758"/>
    </row>
    <row r="1273" spans="2:8" ht="63.75">
      <c r="B1273" s="367" t="s">
        <v>2110</v>
      </c>
      <c r="C1273" s="118" t="s">
        <v>892</v>
      </c>
      <c r="D1273" s="119" t="s">
        <v>12</v>
      </c>
      <c r="E1273" s="119" t="s">
        <v>15</v>
      </c>
      <c r="F1273" s="120"/>
      <c r="G1273" s="121"/>
      <c r="H1273" s="122"/>
    </row>
    <row r="1274" spans="2:8">
      <c r="B1274" s="358">
        <v>88247</v>
      </c>
      <c r="C1274" s="93" t="s">
        <v>1256</v>
      </c>
      <c r="D1274" s="94" t="s">
        <v>1228</v>
      </c>
      <c r="E1274" s="94" t="s">
        <v>1128</v>
      </c>
      <c r="F1274" s="90" t="s">
        <v>1559</v>
      </c>
      <c r="G1274" s="359">
        <v>20.43</v>
      </c>
      <c r="H1274" s="124">
        <f>F1274*G1274</f>
        <v>11.032200000000001</v>
      </c>
    </row>
    <row r="1275" spans="2:8">
      <c r="B1275" s="358">
        <v>88264</v>
      </c>
      <c r="C1275" s="93" t="s">
        <v>1257</v>
      </c>
      <c r="D1275" s="94" t="s">
        <v>1228</v>
      </c>
      <c r="E1275" s="94" t="s">
        <v>1128</v>
      </c>
      <c r="F1275" s="90" t="s">
        <v>1559</v>
      </c>
      <c r="G1275" s="359">
        <v>26.47</v>
      </c>
      <c r="H1275" s="124">
        <f>F1275*G1275</f>
        <v>14.293800000000001</v>
      </c>
    </row>
    <row r="1276" spans="2:8" ht="25.5">
      <c r="B1276" s="358" t="s">
        <v>1672</v>
      </c>
      <c r="C1276" s="93" t="s">
        <v>1673</v>
      </c>
      <c r="D1276" s="94" t="s">
        <v>401</v>
      </c>
      <c r="E1276" s="94" t="s">
        <v>15</v>
      </c>
      <c r="F1276" s="90">
        <v>1.2</v>
      </c>
      <c r="G1276" s="359">
        <f>6.73*1.2173</f>
        <v>8.1924290000000006</v>
      </c>
      <c r="H1276" s="124">
        <f t="shared" ref="H1276:H1285" si="123">F1276*G1276</f>
        <v>9.8309148000000004</v>
      </c>
    </row>
    <row r="1277" spans="2:8" ht="38.25">
      <c r="B1277" s="358" t="s">
        <v>1662</v>
      </c>
      <c r="C1277" s="93" t="s">
        <v>1663</v>
      </c>
      <c r="D1277" s="94" t="s">
        <v>401</v>
      </c>
      <c r="E1277" s="94" t="s">
        <v>15</v>
      </c>
      <c r="F1277" s="90" t="s">
        <v>1466</v>
      </c>
      <c r="G1277" s="359">
        <f>3.91*1.2173</f>
        <v>4.7596430000000005</v>
      </c>
      <c r="H1277" s="124">
        <f t="shared" si="123"/>
        <v>3.8077144000000005</v>
      </c>
    </row>
    <row r="1278" spans="2:8">
      <c r="B1278" s="358">
        <v>39997</v>
      </c>
      <c r="C1278" s="93" t="s">
        <v>2103</v>
      </c>
      <c r="D1278" s="94" t="s">
        <v>401</v>
      </c>
      <c r="E1278" s="94" t="s">
        <v>37</v>
      </c>
      <c r="F1278" s="90">
        <v>4.0033333329999996</v>
      </c>
      <c r="G1278" s="359">
        <v>0.34</v>
      </c>
      <c r="H1278" s="124">
        <f t="shared" si="123"/>
        <v>1.36113333322</v>
      </c>
    </row>
    <row r="1279" spans="2:8">
      <c r="B1279" s="358" t="s">
        <v>2818</v>
      </c>
      <c r="C1279" s="93" t="s">
        <v>2104</v>
      </c>
      <c r="D1279" s="94" t="s">
        <v>401</v>
      </c>
      <c r="E1279" s="94" t="s">
        <v>37</v>
      </c>
      <c r="F1279" s="90">
        <v>4.0033333329999996</v>
      </c>
      <c r="G1279" s="359">
        <v>0.41</v>
      </c>
      <c r="H1279" s="124">
        <f t="shared" si="123"/>
        <v>1.6413666665299997</v>
      </c>
    </row>
    <row r="1280" spans="2:8" ht="25.5">
      <c r="B1280" s="358" t="s">
        <v>2111</v>
      </c>
      <c r="C1280" s="93" t="s">
        <v>1674</v>
      </c>
      <c r="D1280" s="94" t="s">
        <v>401</v>
      </c>
      <c r="E1280" s="94" t="s">
        <v>37</v>
      </c>
      <c r="F1280" s="90" t="s">
        <v>1432</v>
      </c>
      <c r="G1280" s="359">
        <v>5.5</v>
      </c>
      <c r="H1280" s="124">
        <f t="shared" si="123"/>
        <v>3.6850000000000001</v>
      </c>
    </row>
    <row r="1281" spans="2:8">
      <c r="B1281" s="358" t="s">
        <v>1664</v>
      </c>
      <c r="C1281" s="93" t="s">
        <v>1665</v>
      </c>
      <c r="D1281" s="94" t="s">
        <v>401</v>
      </c>
      <c r="E1281" s="94" t="s">
        <v>37</v>
      </c>
      <c r="F1281" s="90" t="s">
        <v>1432</v>
      </c>
      <c r="G1281" s="359">
        <f>1.32*1.2173</f>
        <v>1.6068360000000002</v>
      </c>
      <c r="H1281" s="124">
        <f t="shared" si="123"/>
        <v>1.0765801200000003</v>
      </c>
    </row>
    <row r="1282" spans="2:8">
      <c r="B1282" s="358" t="s">
        <v>2109</v>
      </c>
      <c r="C1282" s="93" t="s">
        <v>1666</v>
      </c>
      <c r="D1282" s="94" t="s">
        <v>401</v>
      </c>
      <c r="E1282" s="94" t="s">
        <v>37</v>
      </c>
      <c r="F1282" s="90">
        <v>2.67</v>
      </c>
      <c r="G1282" s="359">
        <v>0.25</v>
      </c>
      <c r="H1282" s="124">
        <f t="shared" si="123"/>
        <v>0.66749999999999998</v>
      </c>
    </row>
    <row r="1283" spans="2:8">
      <c r="B1283" s="358" t="s">
        <v>1667</v>
      </c>
      <c r="C1283" s="93" t="s">
        <v>1668</v>
      </c>
      <c r="D1283" s="94" t="s">
        <v>401</v>
      </c>
      <c r="E1283" s="94" t="s">
        <v>37</v>
      </c>
      <c r="F1283" s="90" t="s">
        <v>1669</v>
      </c>
      <c r="G1283" s="359">
        <f>3.72*1.2173</f>
        <v>4.5283560000000005</v>
      </c>
      <c r="H1283" s="124">
        <f t="shared" si="123"/>
        <v>3.0189040015094522</v>
      </c>
    </row>
    <row r="1284" spans="2:8" ht="38.25">
      <c r="B1284" s="358" t="s">
        <v>2112</v>
      </c>
      <c r="C1284" s="93" t="s">
        <v>2113</v>
      </c>
      <c r="D1284" s="94" t="s">
        <v>401</v>
      </c>
      <c r="E1284" s="94" t="s">
        <v>37</v>
      </c>
      <c r="F1284" s="90">
        <v>0.317142857</v>
      </c>
      <c r="G1284" s="359">
        <f>21*1.2173</f>
        <v>25.563300000000002</v>
      </c>
      <c r="H1284" s="124">
        <f t="shared" si="123"/>
        <v>8.1072179963481013</v>
      </c>
    </row>
    <row r="1285" spans="2:8" ht="38.25">
      <c r="B1285" s="358" t="s">
        <v>1670</v>
      </c>
      <c r="C1285" s="93" t="s">
        <v>1671</v>
      </c>
      <c r="D1285" s="94" t="s">
        <v>401</v>
      </c>
      <c r="E1285" s="94" t="s">
        <v>37</v>
      </c>
      <c r="F1285" s="90">
        <v>2</v>
      </c>
      <c r="G1285" s="359">
        <f>0.85*1.2173</f>
        <v>1.034705</v>
      </c>
      <c r="H1285" s="124">
        <f t="shared" si="123"/>
        <v>2.06941</v>
      </c>
    </row>
    <row r="1286" spans="2:8">
      <c r="B1286" s="717" t="s">
        <v>1231</v>
      </c>
      <c r="C1286" s="718"/>
      <c r="D1286" s="718"/>
      <c r="E1286" s="718"/>
      <c r="F1286" s="718"/>
      <c r="G1286" s="719"/>
      <c r="H1286" s="125">
        <f>SUM(H1274:H1285)</f>
        <v>60.591741317607564</v>
      </c>
    </row>
    <row r="1287" spans="2:8">
      <c r="B1287" s="756"/>
      <c r="C1287" s="757"/>
      <c r="D1287" s="757"/>
      <c r="E1287" s="757"/>
      <c r="F1287" s="757"/>
      <c r="G1287" s="757"/>
      <c r="H1287" s="758"/>
    </row>
    <row r="1288" spans="2:8" ht="63.75">
      <c r="B1288" s="367" t="s">
        <v>2114</v>
      </c>
      <c r="C1288" s="118" t="s">
        <v>893</v>
      </c>
      <c r="D1288" s="119" t="s">
        <v>12</v>
      </c>
      <c r="E1288" s="119" t="s">
        <v>15</v>
      </c>
      <c r="F1288" s="120"/>
      <c r="G1288" s="121"/>
      <c r="H1288" s="122"/>
    </row>
    <row r="1289" spans="2:8">
      <c r="B1289" s="358">
        <v>88247</v>
      </c>
      <c r="C1289" s="93" t="s">
        <v>1256</v>
      </c>
      <c r="D1289" s="94" t="s">
        <v>1228</v>
      </c>
      <c r="E1289" s="94" t="s">
        <v>1128</v>
      </c>
      <c r="F1289" s="90" t="s">
        <v>1559</v>
      </c>
      <c r="G1289" s="359">
        <v>20.43</v>
      </c>
      <c r="H1289" s="124">
        <f>F1289*G1289</f>
        <v>11.032200000000001</v>
      </c>
    </row>
    <row r="1290" spans="2:8">
      <c r="B1290" s="358">
        <v>88264</v>
      </c>
      <c r="C1290" s="93" t="s">
        <v>1257</v>
      </c>
      <c r="D1290" s="94" t="s">
        <v>1228</v>
      </c>
      <c r="E1290" s="94" t="s">
        <v>1128</v>
      </c>
      <c r="F1290" s="90" t="s">
        <v>1559</v>
      </c>
      <c r="G1290" s="359">
        <v>26.47</v>
      </c>
      <c r="H1290" s="124">
        <f>F1290*G1290</f>
        <v>14.293800000000001</v>
      </c>
    </row>
    <row r="1291" spans="2:8" ht="38.25">
      <c r="B1291" s="358" t="s">
        <v>1675</v>
      </c>
      <c r="C1291" s="93" t="s">
        <v>1676</v>
      </c>
      <c r="D1291" s="94" t="s">
        <v>401</v>
      </c>
      <c r="E1291" s="94" t="s">
        <v>15</v>
      </c>
      <c r="F1291" s="90">
        <v>1.2</v>
      </c>
      <c r="G1291" s="359">
        <f>10.59*1.2173</f>
        <v>12.891207</v>
      </c>
      <c r="H1291" s="124">
        <f t="shared" ref="H1291:H1300" si="124">F1291*G1291</f>
        <v>15.469448399999999</v>
      </c>
    </row>
    <row r="1292" spans="2:8" ht="38.25">
      <c r="B1292" s="358" t="s">
        <v>1662</v>
      </c>
      <c r="C1292" s="93" t="s">
        <v>1663</v>
      </c>
      <c r="D1292" s="94" t="s">
        <v>401</v>
      </c>
      <c r="E1292" s="94" t="s">
        <v>15</v>
      </c>
      <c r="F1292" s="90" t="s">
        <v>1466</v>
      </c>
      <c r="G1292" s="359">
        <f>3.91*1.2173</f>
        <v>4.7596430000000005</v>
      </c>
      <c r="H1292" s="124">
        <f t="shared" si="124"/>
        <v>3.8077144000000005</v>
      </c>
    </row>
    <row r="1293" spans="2:8">
      <c r="B1293" s="358">
        <v>39997</v>
      </c>
      <c r="C1293" s="93" t="s">
        <v>2103</v>
      </c>
      <c r="D1293" s="94" t="s">
        <v>401</v>
      </c>
      <c r="E1293" s="94" t="s">
        <v>37</v>
      </c>
      <c r="F1293" s="90">
        <v>4.0033333329999996</v>
      </c>
      <c r="G1293" s="359">
        <v>0.34</v>
      </c>
      <c r="H1293" s="124">
        <f t="shared" si="124"/>
        <v>1.36113333322</v>
      </c>
    </row>
    <row r="1294" spans="2:8">
      <c r="B1294" s="358" t="s">
        <v>2818</v>
      </c>
      <c r="C1294" s="93" t="s">
        <v>2104</v>
      </c>
      <c r="D1294" s="94" t="s">
        <v>401</v>
      </c>
      <c r="E1294" s="94" t="s">
        <v>37</v>
      </c>
      <c r="F1294" s="90">
        <v>4.0033333329999996</v>
      </c>
      <c r="G1294" s="359">
        <v>0.41</v>
      </c>
      <c r="H1294" s="124">
        <f t="shared" si="124"/>
        <v>1.6413666665299997</v>
      </c>
    </row>
    <row r="1295" spans="2:8" ht="25.5">
      <c r="B1295" s="358" t="s">
        <v>2111</v>
      </c>
      <c r="C1295" s="93" t="s">
        <v>1674</v>
      </c>
      <c r="D1295" s="94" t="s">
        <v>401</v>
      </c>
      <c r="E1295" s="94" t="s">
        <v>37</v>
      </c>
      <c r="F1295" s="90" t="s">
        <v>1432</v>
      </c>
      <c r="G1295" s="359">
        <v>5.5</v>
      </c>
      <c r="H1295" s="124">
        <f t="shared" si="124"/>
        <v>3.6850000000000001</v>
      </c>
    </row>
    <row r="1296" spans="2:8">
      <c r="B1296" s="358" t="s">
        <v>1664</v>
      </c>
      <c r="C1296" s="93" t="s">
        <v>1665</v>
      </c>
      <c r="D1296" s="94" t="s">
        <v>401</v>
      </c>
      <c r="E1296" s="94" t="s">
        <v>37</v>
      </c>
      <c r="F1296" s="90" t="s">
        <v>1432</v>
      </c>
      <c r="G1296" s="359">
        <f>1.32*1.2173</f>
        <v>1.6068360000000002</v>
      </c>
      <c r="H1296" s="124">
        <f t="shared" si="124"/>
        <v>1.0765801200000003</v>
      </c>
    </row>
    <row r="1297" spans="2:8" ht="38.25">
      <c r="B1297" s="358" t="s">
        <v>2115</v>
      </c>
      <c r="C1297" s="93" t="s">
        <v>2116</v>
      </c>
      <c r="D1297" s="94" t="s">
        <v>401</v>
      </c>
      <c r="E1297" s="94" t="s">
        <v>37</v>
      </c>
      <c r="F1297" s="90">
        <v>0.18955223800000001</v>
      </c>
      <c r="G1297" s="359">
        <v>46.1</v>
      </c>
      <c r="H1297" s="124">
        <f t="shared" si="124"/>
        <v>8.7383581718000016</v>
      </c>
    </row>
    <row r="1298" spans="2:8">
      <c r="B1298" s="358" t="s">
        <v>2820</v>
      </c>
      <c r="C1298" s="93" t="s">
        <v>1666</v>
      </c>
      <c r="D1298" s="94" t="s">
        <v>401</v>
      </c>
      <c r="E1298" s="94" t="s">
        <v>37</v>
      </c>
      <c r="F1298" s="90">
        <v>2.67</v>
      </c>
      <c r="G1298" s="359">
        <v>0.25</v>
      </c>
      <c r="H1298" s="124">
        <f t="shared" si="124"/>
        <v>0.66749999999999998</v>
      </c>
    </row>
    <row r="1299" spans="2:8">
      <c r="B1299" s="358" t="s">
        <v>1667</v>
      </c>
      <c r="C1299" s="93" t="s">
        <v>1668</v>
      </c>
      <c r="D1299" s="94" t="s">
        <v>401</v>
      </c>
      <c r="E1299" s="94" t="s">
        <v>37</v>
      </c>
      <c r="F1299" s="90" t="s">
        <v>1669</v>
      </c>
      <c r="G1299" s="359">
        <f>3.72*1.2173</f>
        <v>4.5283560000000005</v>
      </c>
      <c r="H1299" s="124">
        <f t="shared" si="124"/>
        <v>3.0189040015094522</v>
      </c>
    </row>
    <row r="1300" spans="2:8" ht="38.25">
      <c r="B1300" s="358" t="s">
        <v>1670</v>
      </c>
      <c r="C1300" s="93" t="s">
        <v>1671</v>
      </c>
      <c r="D1300" s="94" t="s">
        <v>401</v>
      </c>
      <c r="E1300" s="94" t="s">
        <v>37</v>
      </c>
      <c r="F1300" s="90">
        <v>2</v>
      </c>
      <c r="G1300" s="359">
        <f>0.85*1.2173</f>
        <v>1.034705</v>
      </c>
      <c r="H1300" s="124">
        <f t="shared" si="124"/>
        <v>2.06941</v>
      </c>
    </row>
    <row r="1301" spans="2:8">
      <c r="B1301" s="717" t="s">
        <v>1231</v>
      </c>
      <c r="C1301" s="718"/>
      <c r="D1301" s="718"/>
      <c r="E1301" s="718"/>
      <c r="F1301" s="718"/>
      <c r="G1301" s="719"/>
      <c r="H1301" s="125">
        <f>SUM(H1289:H1300)</f>
        <v>66.861415093059463</v>
      </c>
    </row>
    <row r="1302" spans="2:8">
      <c r="B1302" s="756"/>
      <c r="C1302" s="757"/>
      <c r="D1302" s="757"/>
      <c r="E1302" s="757"/>
      <c r="F1302" s="757"/>
      <c r="G1302" s="757"/>
      <c r="H1302" s="758"/>
    </row>
    <row r="1303" spans="2:8" ht="51">
      <c r="B1303" s="367" t="s">
        <v>2117</v>
      </c>
      <c r="C1303" s="118" t="s">
        <v>894</v>
      </c>
      <c r="D1303" s="119" t="s">
        <v>12</v>
      </c>
      <c r="E1303" s="119" t="s">
        <v>15</v>
      </c>
      <c r="F1303" s="120"/>
      <c r="G1303" s="121"/>
      <c r="H1303" s="122"/>
    </row>
    <row r="1304" spans="2:8">
      <c r="B1304" s="358">
        <v>88247</v>
      </c>
      <c r="C1304" s="93" t="s">
        <v>1256</v>
      </c>
      <c r="D1304" s="94" t="s">
        <v>1228</v>
      </c>
      <c r="E1304" s="94" t="s">
        <v>1128</v>
      </c>
      <c r="F1304" s="90" t="s">
        <v>1279</v>
      </c>
      <c r="G1304" s="359">
        <v>20.43</v>
      </c>
      <c r="H1304" s="124">
        <f>F1304*G1304</f>
        <v>10.215</v>
      </c>
    </row>
    <row r="1305" spans="2:8">
      <c r="B1305" s="358">
        <v>88264</v>
      </c>
      <c r="C1305" s="93" t="s">
        <v>1257</v>
      </c>
      <c r="D1305" s="94" t="s">
        <v>1228</v>
      </c>
      <c r="E1305" s="94" t="s">
        <v>1128</v>
      </c>
      <c r="F1305" s="90" t="s">
        <v>1279</v>
      </c>
      <c r="G1305" s="359">
        <v>26.47</v>
      </c>
      <c r="H1305" s="124">
        <f t="shared" ref="H1305:H1315" si="125">F1305*G1305</f>
        <v>13.234999999999999</v>
      </c>
    </row>
    <row r="1306" spans="2:8" ht="38.25">
      <c r="B1306" s="358" t="s">
        <v>1662</v>
      </c>
      <c r="C1306" s="93" t="s">
        <v>1663</v>
      </c>
      <c r="D1306" s="94" t="s">
        <v>401</v>
      </c>
      <c r="E1306" s="94" t="s">
        <v>15</v>
      </c>
      <c r="F1306" s="90">
        <v>1.6</v>
      </c>
      <c r="G1306" s="359">
        <f>3.91*1.2173</f>
        <v>4.7596430000000005</v>
      </c>
      <c r="H1306" s="124">
        <f t="shared" si="125"/>
        <v>7.615428800000001</v>
      </c>
    </row>
    <row r="1307" spans="2:8">
      <c r="B1307" s="358">
        <v>39997</v>
      </c>
      <c r="C1307" s="93" t="s">
        <v>2103</v>
      </c>
      <c r="D1307" s="94" t="s">
        <v>401</v>
      </c>
      <c r="E1307" s="94" t="s">
        <v>37</v>
      </c>
      <c r="F1307" s="90">
        <v>5.3366666670000003</v>
      </c>
      <c r="G1307" s="359">
        <v>0.34</v>
      </c>
      <c r="H1307" s="124">
        <f t="shared" si="125"/>
        <v>1.8144666667800002</v>
      </c>
    </row>
    <row r="1308" spans="2:8">
      <c r="B1308" s="358" t="s">
        <v>2818</v>
      </c>
      <c r="C1308" s="93" t="s">
        <v>2104</v>
      </c>
      <c r="D1308" s="94" t="s">
        <v>401</v>
      </c>
      <c r="E1308" s="94" t="s">
        <v>37</v>
      </c>
      <c r="F1308" s="90">
        <v>5.34</v>
      </c>
      <c r="G1308" s="359">
        <v>0.41</v>
      </c>
      <c r="H1308" s="124">
        <f t="shared" si="125"/>
        <v>2.1894</v>
      </c>
    </row>
    <row r="1309" spans="2:8" ht="25.5" customHeight="1">
      <c r="B1309" s="358" t="s">
        <v>2118</v>
      </c>
      <c r="C1309" s="93" t="s">
        <v>1678</v>
      </c>
      <c r="D1309" s="94" t="s">
        <v>401</v>
      </c>
      <c r="E1309" s="94" t="s">
        <v>37</v>
      </c>
      <c r="F1309" s="90" t="s">
        <v>1432</v>
      </c>
      <c r="G1309" s="359">
        <v>8.9</v>
      </c>
      <c r="H1309" s="124">
        <f t="shared" si="125"/>
        <v>5.963000000000001</v>
      </c>
    </row>
    <row r="1310" spans="2:8" ht="38.25">
      <c r="B1310" s="358" t="s">
        <v>2119</v>
      </c>
      <c r="C1310" s="93" t="s">
        <v>2120</v>
      </c>
      <c r="D1310" s="94" t="s">
        <v>401</v>
      </c>
      <c r="E1310" s="94" t="s">
        <v>37</v>
      </c>
      <c r="F1310" s="90">
        <v>0.32292045000000003</v>
      </c>
      <c r="G1310" s="359">
        <v>37.56</v>
      </c>
      <c r="H1310" s="124">
        <f t="shared" si="125"/>
        <v>12.128892102000002</v>
      </c>
    </row>
    <row r="1311" spans="2:8" ht="25.5">
      <c r="B1311" s="358" t="s">
        <v>1679</v>
      </c>
      <c r="C1311" s="93" t="s">
        <v>1680</v>
      </c>
      <c r="D1311" s="94" t="s">
        <v>401</v>
      </c>
      <c r="E1311" s="94" t="s">
        <v>15</v>
      </c>
      <c r="F1311" s="90">
        <v>1.05</v>
      </c>
      <c r="G1311" s="359">
        <f>11.86*1.2173</f>
        <v>14.437177999999999</v>
      </c>
      <c r="H1311" s="124">
        <f t="shared" si="125"/>
        <v>15.1590369</v>
      </c>
    </row>
    <row r="1312" spans="2:8" ht="25.5">
      <c r="B1312" s="358" t="s">
        <v>1681</v>
      </c>
      <c r="C1312" s="93" t="s">
        <v>1682</v>
      </c>
      <c r="D1312" s="94" t="s">
        <v>401</v>
      </c>
      <c r="E1312" s="94" t="s">
        <v>37</v>
      </c>
      <c r="F1312" s="90">
        <v>1.3333333329999999</v>
      </c>
      <c r="G1312" s="359">
        <f>3.53*1.2173</f>
        <v>4.2970689999999996</v>
      </c>
      <c r="H1312" s="124">
        <f t="shared" si="125"/>
        <v>5.729425331900976</v>
      </c>
    </row>
    <row r="1313" spans="2:8">
      <c r="B1313" s="358" t="s">
        <v>2820</v>
      </c>
      <c r="C1313" s="93" t="s">
        <v>1666</v>
      </c>
      <c r="D1313" s="94" t="s">
        <v>401</v>
      </c>
      <c r="E1313" s="94" t="s">
        <v>37</v>
      </c>
      <c r="F1313" s="90">
        <v>2.67</v>
      </c>
      <c r="G1313" s="359">
        <v>0.25</v>
      </c>
      <c r="H1313" s="124">
        <f t="shared" si="125"/>
        <v>0.66749999999999998</v>
      </c>
    </row>
    <row r="1314" spans="2:8">
      <c r="B1314" s="358" t="s">
        <v>1667</v>
      </c>
      <c r="C1314" s="93" t="s">
        <v>1668</v>
      </c>
      <c r="D1314" s="94" t="s">
        <v>401</v>
      </c>
      <c r="E1314" s="94" t="s">
        <v>37</v>
      </c>
      <c r="F1314" s="90" t="s">
        <v>1432</v>
      </c>
      <c r="G1314" s="359">
        <f>3.72*1.2173</f>
        <v>4.5283560000000005</v>
      </c>
      <c r="H1314" s="124">
        <f t="shared" si="125"/>
        <v>3.0339985200000004</v>
      </c>
    </row>
    <row r="1315" spans="2:8" ht="38.25">
      <c r="B1315" s="358" t="s">
        <v>1683</v>
      </c>
      <c r="C1315" s="93" t="s">
        <v>1684</v>
      </c>
      <c r="D1315" s="94" t="s">
        <v>12</v>
      </c>
      <c r="E1315" s="94" t="s">
        <v>37</v>
      </c>
      <c r="F1315" s="90">
        <v>1.3333333329999999</v>
      </c>
      <c r="G1315" s="359">
        <f>6.64*1.2173</f>
        <v>8.0828720000000001</v>
      </c>
      <c r="H1315" s="124">
        <f t="shared" si="125"/>
        <v>10.777162663972375</v>
      </c>
    </row>
    <row r="1316" spans="2:8">
      <c r="B1316" s="717" t="s">
        <v>1231</v>
      </c>
      <c r="C1316" s="718"/>
      <c r="D1316" s="718"/>
      <c r="E1316" s="718"/>
      <c r="F1316" s="718"/>
      <c r="G1316" s="719"/>
      <c r="H1316" s="125">
        <f>SUM(H1304:H1315)</f>
        <v>88.528310984653345</v>
      </c>
    </row>
    <row r="1317" spans="2:8">
      <c r="B1317" s="365"/>
      <c r="C1317" s="133"/>
      <c r="D1317" s="133"/>
      <c r="E1317" s="133"/>
      <c r="F1317" s="133"/>
      <c r="G1317" s="133"/>
      <c r="H1317" s="126"/>
    </row>
    <row r="1318" spans="2:8" ht="51">
      <c r="B1318" s="367" t="s">
        <v>2121</v>
      </c>
      <c r="C1318" s="118" t="s">
        <v>1928</v>
      </c>
      <c r="D1318" s="119" t="s">
        <v>12</v>
      </c>
      <c r="E1318" s="119" t="s">
        <v>15</v>
      </c>
      <c r="F1318" s="120"/>
      <c r="G1318" s="121"/>
      <c r="H1318" s="122"/>
    </row>
    <row r="1319" spans="2:8">
      <c r="B1319" s="358">
        <v>88247</v>
      </c>
      <c r="C1319" s="360" t="s">
        <v>1256</v>
      </c>
      <c r="D1319" s="361" t="s">
        <v>1228</v>
      </c>
      <c r="E1319" s="361" t="s">
        <v>1128</v>
      </c>
      <c r="F1319" s="362" t="s">
        <v>1378</v>
      </c>
      <c r="G1319" s="359">
        <v>20.43</v>
      </c>
      <c r="H1319" s="363">
        <f>F1319*G1319</f>
        <v>15.3225</v>
      </c>
    </row>
    <row r="1320" spans="2:8">
      <c r="B1320" s="358">
        <v>88264</v>
      </c>
      <c r="C1320" s="360" t="s">
        <v>1257</v>
      </c>
      <c r="D1320" s="361" t="s">
        <v>1228</v>
      </c>
      <c r="E1320" s="361" t="s">
        <v>1128</v>
      </c>
      <c r="F1320" s="362" t="s">
        <v>1378</v>
      </c>
      <c r="G1320" s="359">
        <v>26.47</v>
      </c>
      <c r="H1320" s="363">
        <f t="shared" ref="H1320:H1332" si="126">F1320*G1320</f>
        <v>19.852499999999999</v>
      </c>
    </row>
    <row r="1321" spans="2:8" ht="25.5">
      <c r="B1321" s="358">
        <v>1323</v>
      </c>
      <c r="C1321" s="360" t="s">
        <v>1929</v>
      </c>
      <c r="D1321" s="361" t="s">
        <v>401</v>
      </c>
      <c r="E1321" s="361" t="s">
        <v>112</v>
      </c>
      <c r="F1321" s="362">
        <v>7.056</v>
      </c>
      <c r="G1321" s="359">
        <v>13.74</v>
      </c>
      <c r="H1321" s="363">
        <f t="shared" si="126"/>
        <v>96.949439999999996</v>
      </c>
    </row>
    <row r="1322" spans="2:8" ht="38.25">
      <c r="B1322" s="358" t="s">
        <v>1662</v>
      </c>
      <c r="C1322" s="360" t="s">
        <v>1663</v>
      </c>
      <c r="D1322" s="361" t="s">
        <v>401</v>
      </c>
      <c r="E1322" s="361" t="s">
        <v>15</v>
      </c>
      <c r="F1322" s="362">
        <v>1.1000000000000001</v>
      </c>
      <c r="G1322" s="359">
        <f>3.91*1.2173</f>
        <v>4.7596430000000005</v>
      </c>
      <c r="H1322" s="363">
        <f t="shared" si="126"/>
        <v>5.2356073000000007</v>
      </c>
    </row>
    <row r="1323" spans="2:8">
      <c r="B1323" s="358">
        <v>39997</v>
      </c>
      <c r="C1323" s="360" t="s">
        <v>2103</v>
      </c>
      <c r="D1323" s="361" t="s">
        <v>401</v>
      </c>
      <c r="E1323" s="361" t="s">
        <v>37</v>
      </c>
      <c r="F1323" s="362">
        <v>4.4000000000000004</v>
      </c>
      <c r="G1323" s="359">
        <v>0.34</v>
      </c>
      <c r="H1323" s="363">
        <f t="shared" si="126"/>
        <v>1.4960000000000002</v>
      </c>
    </row>
    <row r="1324" spans="2:8">
      <c r="B1324" s="358" t="s">
        <v>2818</v>
      </c>
      <c r="C1324" s="360" t="s">
        <v>2104</v>
      </c>
      <c r="D1324" s="361" t="s">
        <v>401</v>
      </c>
      <c r="E1324" s="361" t="s">
        <v>37</v>
      </c>
      <c r="F1324" s="362">
        <v>4.4000000000000004</v>
      </c>
      <c r="G1324" s="359">
        <v>0.41</v>
      </c>
      <c r="H1324" s="363">
        <f t="shared" si="126"/>
        <v>1.804</v>
      </c>
    </row>
    <row r="1325" spans="2:8" ht="25.5" customHeight="1">
      <c r="B1325" s="358" t="s">
        <v>2118</v>
      </c>
      <c r="C1325" s="360" t="s">
        <v>1678</v>
      </c>
      <c r="D1325" s="361" t="s">
        <v>401</v>
      </c>
      <c r="E1325" s="361" t="s">
        <v>37</v>
      </c>
      <c r="F1325" s="362">
        <v>1.33</v>
      </c>
      <c r="G1325" s="359">
        <v>8.9</v>
      </c>
      <c r="H1325" s="363">
        <f t="shared" si="126"/>
        <v>11.837000000000002</v>
      </c>
    </row>
    <row r="1326" spans="2:8" ht="25.5">
      <c r="B1326" s="358" t="s">
        <v>1681</v>
      </c>
      <c r="C1326" s="360" t="s">
        <v>1682</v>
      </c>
      <c r="D1326" s="361" t="s">
        <v>401</v>
      </c>
      <c r="E1326" s="361" t="s">
        <v>37</v>
      </c>
      <c r="F1326" s="362">
        <v>1.33</v>
      </c>
      <c r="G1326" s="359">
        <f>3.53*1.2173</f>
        <v>4.2970689999999996</v>
      </c>
      <c r="H1326" s="363">
        <f t="shared" si="126"/>
        <v>5.7151017699999995</v>
      </c>
    </row>
    <row r="1327" spans="2:8">
      <c r="B1327" s="358" t="s">
        <v>2820</v>
      </c>
      <c r="C1327" s="360" t="s">
        <v>1666</v>
      </c>
      <c r="D1327" s="361" t="s">
        <v>401</v>
      </c>
      <c r="E1327" s="361" t="s">
        <v>37</v>
      </c>
      <c r="F1327" s="362">
        <v>1.33</v>
      </c>
      <c r="G1327" s="359">
        <v>0.25</v>
      </c>
      <c r="H1327" s="363">
        <f t="shared" si="126"/>
        <v>0.33250000000000002</v>
      </c>
    </row>
    <row r="1328" spans="2:8">
      <c r="B1328" s="358" t="s">
        <v>1667</v>
      </c>
      <c r="C1328" s="360" t="s">
        <v>1668</v>
      </c>
      <c r="D1328" s="361" t="s">
        <v>401</v>
      </c>
      <c r="E1328" s="361" t="s">
        <v>37</v>
      </c>
      <c r="F1328" s="362" t="s">
        <v>1432</v>
      </c>
      <c r="G1328" s="359">
        <f>3.72*1.2173</f>
        <v>4.5283560000000005</v>
      </c>
      <c r="H1328" s="363">
        <f t="shared" si="126"/>
        <v>3.0339985200000004</v>
      </c>
    </row>
    <row r="1329" spans="2:8" ht="38.25">
      <c r="B1329" s="358" t="s">
        <v>1683</v>
      </c>
      <c r="C1329" s="360" t="s">
        <v>1684</v>
      </c>
      <c r="D1329" s="361" t="s">
        <v>12</v>
      </c>
      <c r="E1329" s="361" t="s">
        <v>37</v>
      </c>
      <c r="F1329" s="362">
        <v>1.33</v>
      </c>
      <c r="G1329" s="359">
        <f>6.64*1.2173</f>
        <v>8.0828720000000001</v>
      </c>
      <c r="H1329" s="363">
        <f t="shared" si="126"/>
        <v>10.75021976</v>
      </c>
    </row>
    <row r="1330" spans="2:8" ht="51">
      <c r="B1330" s="358" t="s">
        <v>2062</v>
      </c>
      <c r="C1330" s="360" t="s">
        <v>699</v>
      </c>
      <c r="D1330" s="361" t="s">
        <v>12</v>
      </c>
      <c r="E1330" s="361" t="s">
        <v>24</v>
      </c>
      <c r="F1330" s="362" t="s">
        <v>1342</v>
      </c>
      <c r="G1330" s="359">
        <f>H993</f>
        <v>22.484903649589999</v>
      </c>
      <c r="H1330" s="363">
        <f t="shared" si="126"/>
        <v>13.490942189754</v>
      </c>
    </row>
    <row r="1331" spans="2:8" ht="25.5">
      <c r="B1331" s="358" t="s">
        <v>1485</v>
      </c>
      <c r="C1331" s="360" t="s">
        <v>1486</v>
      </c>
      <c r="D1331" s="361" t="s">
        <v>12</v>
      </c>
      <c r="E1331" s="361" t="s">
        <v>1128</v>
      </c>
      <c r="F1331" s="362" t="s">
        <v>1274</v>
      </c>
      <c r="G1331" s="359">
        <v>20.62</v>
      </c>
      <c r="H1331" s="363">
        <f t="shared" si="126"/>
        <v>1.6496000000000002</v>
      </c>
    </row>
    <row r="1332" spans="2:8" ht="25.5">
      <c r="B1332" s="358" t="s">
        <v>1388</v>
      </c>
      <c r="C1332" s="360" t="s">
        <v>1389</v>
      </c>
      <c r="D1332" s="361" t="s">
        <v>12</v>
      </c>
      <c r="E1332" s="361" t="s">
        <v>1128</v>
      </c>
      <c r="F1332" s="362" t="s">
        <v>1274</v>
      </c>
      <c r="G1332" s="359">
        <v>26.05</v>
      </c>
      <c r="H1332" s="363">
        <f t="shared" si="126"/>
        <v>2.0840000000000001</v>
      </c>
    </row>
    <row r="1333" spans="2:8">
      <c r="B1333" s="748" t="s">
        <v>1231</v>
      </c>
      <c r="C1333" s="749"/>
      <c r="D1333" s="749"/>
      <c r="E1333" s="749"/>
      <c r="F1333" s="749"/>
      <c r="G1333" s="750"/>
      <c r="H1333" s="410">
        <f>SUM(H1319:H1332)</f>
        <v>189.553409539754</v>
      </c>
    </row>
    <row r="1334" spans="2:8">
      <c r="B1334" s="702"/>
      <c r="C1334" s="703"/>
      <c r="D1334" s="703"/>
      <c r="E1334" s="703"/>
      <c r="F1334" s="703"/>
      <c r="G1334" s="703"/>
      <c r="H1334" s="704"/>
    </row>
    <row r="1335" spans="2:8" ht="76.5">
      <c r="B1335" s="367" t="s">
        <v>2122</v>
      </c>
      <c r="C1335" s="368" t="s">
        <v>1688</v>
      </c>
      <c r="D1335" s="369" t="s">
        <v>12</v>
      </c>
      <c r="E1335" s="369" t="s">
        <v>37</v>
      </c>
      <c r="F1335" s="370"/>
      <c r="G1335" s="356"/>
      <c r="H1335" s="371"/>
    </row>
    <row r="1336" spans="2:8" ht="38.25">
      <c r="B1336" s="358">
        <v>3799</v>
      </c>
      <c r="C1336" s="360" t="s">
        <v>2123</v>
      </c>
      <c r="D1336" s="361" t="s">
        <v>401</v>
      </c>
      <c r="E1336" s="361" t="s">
        <v>37</v>
      </c>
      <c r="F1336" s="362">
        <v>2</v>
      </c>
      <c r="G1336" s="359">
        <v>82.27</v>
      </c>
      <c r="H1336" s="363">
        <f>F1336*G1336</f>
        <v>164.54</v>
      </c>
    </row>
    <row r="1337" spans="2:8" ht="25.5">
      <c r="B1337" s="358" t="s">
        <v>1622</v>
      </c>
      <c r="C1337" s="360" t="s">
        <v>1868</v>
      </c>
      <c r="D1337" s="361" t="s">
        <v>12</v>
      </c>
      <c r="E1337" s="361" t="s">
        <v>1128</v>
      </c>
      <c r="F1337" s="362">
        <v>1.35</v>
      </c>
      <c r="G1337" s="359">
        <v>20.43</v>
      </c>
      <c r="H1337" s="363">
        <f t="shared" ref="H1337:H1338" si="127">F1337*G1337</f>
        <v>27.580500000000001</v>
      </c>
    </row>
    <row r="1338" spans="2:8" ht="25.5">
      <c r="B1338" s="358" t="s">
        <v>1624</v>
      </c>
      <c r="C1338" s="360" t="s">
        <v>1625</v>
      </c>
      <c r="D1338" s="361" t="s">
        <v>12</v>
      </c>
      <c r="E1338" s="361" t="s">
        <v>1128</v>
      </c>
      <c r="F1338" s="362">
        <v>1.35</v>
      </c>
      <c r="G1338" s="359">
        <v>26.47</v>
      </c>
      <c r="H1338" s="363">
        <f t="shared" si="127"/>
        <v>35.734500000000004</v>
      </c>
    </row>
    <row r="1339" spans="2:8">
      <c r="B1339" s="699" t="s">
        <v>1231</v>
      </c>
      <c r="C1339" s="700"/>
      <c r="D1339" s="700"/>
      <c r="E1339" s="700"/>
      <c r="F1339" s="700"/>
      <c r="G1339" s="701"/>
      <c r="H1339" s="364">
        <f>SUM(H1336:H1338)</f>
        <v>227.85499999999999</v>
      </c>
    </row>
    <row r="1340" spans="2:8">
      <c r="B1340" s="711"/>
      <c r="C1340" s="712"/>
      <c r="D1340" s="712"/>
      <c r="E1340" s="712"/>
      <c r="F1340" s="712"/>
      <c r="G1340" s="712"/>
      <c r="H1340" s="713"/>
    </row>
    <row r="1341" spans="2:8" ht="76.5">
      <c r="B1341" s="367" t="s">
        <v>2124</v>
      </c>
      <c r="C1341" s="368" t="s">
        <v>1869</v>
      </c>
      <c r="D1341" s="369" t="s">
        <v>12</v>
      </c>
      <c r="E1341" s="369" t="s">
        <v>37</v>
      </c>
      <c r="F1341" s="370"/>
      <c r="G1341" s="356"/>
      <c r="H1341" s="371"/>
    </row>
    <row r="1342" spans="2:8" ht="38.25">
      <c r="B1342" s="358">
        <v>3799</v>
      </c>
      <c r="C1342" s="360" t="s">
        <v>2123</v>
      </c>
      <c r="D1342" s="361" t="s">
        <v>401</v>
      </c>
      <c r="E1342" s="361" t="s">
        <v>37</v>
      </c>
      <c r="F1342" s="362">
        <v>1</v>
      </c>
      <c r="G1342" s="359">
        <v>82.27</v>
      </c>
      <c r="H1342" s="363">
        <f>F1342*G1342</f>
        <v>82.27</v>
      </c>
    </row>
    <row r="1343" spans="2:8" ht="25.5">
      <c r="B1343" s="358" t="s">
        <v>1622</v>
      </c>
      <c r="C1343" s="360" t="s">
        <v>1868</v>
      </c>
      <c r="D1343" s="361" t="s">
        <v>12</v>
      </c>
      <c r="E1343" s="361" t="s">
        <v>1128</v>
      </c>
      <c r="F1343" s="362">
        <v>1.35</v>
      </c>
      <c r="G1343" s="359">
        <v>20.43</v>
      </c>
      <c r="H1343" s="363">
        <f t="shared" ref="H1343:H1344" si="128">F1343*G1343</f>
        <v>27.580500000000001</v>
      </c>
    </row>
    <row r="1344" spans="2:8" ht="25.5">
      <c r="B1344" s="358" t="s">
        <v>1624</v>
      </c>
      <c r="C1344" s="360" t="s">
        <v>1625</v>
      </c>
      <c r="D1344" s="361" t="s">
        <v>12</v>
      </c>
      <c r="E1344" s="361" t="s">
        <v>1128</v>
      </c>
      <c r="F1344" s="362">
        <v>1.35</v>
      </c>
      <c r="G1344" s="359">
        <v>26.47</v>
      </c>
      <c r="H1344" s="363">
        <f t="shared" si="128"/>
        <v>35.734500000000004</v>
      </c>
    </row>
    <row r="1345" spans="2:8">
      <c r="B1345" s="699" t="s">
        <v>1231</v>
      </c>
      <c r="C1345" s="700"/>
      <c r="D1345" s="700"/>
      <c r="E1345" s="700"/>
      <c r="F1345" s="700"/>
      <c r="G1345" s="701"/>
      <c r="H1345" s="364">
        <f>SUM(H1342:H1344)</f>
        <v>145.58500000000001</v>
      </c>
    </row>
    <row r="1346" spans="2:8">
      <c r="B1346" s="711"/>
      <c r="C1346" s="712"/>
      <c r="D1346" s="712"/>
      <c r="E1346" s="712"/>
      <c r="F1346" s="712"/>
      <c r="G1346" s="712"/>
      <c r="H1346" s="713"/>
    </row>
    <row r="1347" spans="2:8" ht="38.25">
      <c r="B1347" s="367" t="s">
        <v>2125</v>
      </c>
      <c r="C1347" s="368" t="s">
        <v>907</v>
      </c>
      <c r="D1347" s="369" t="s">
        <v>12</v>
      </c>
      <c r="E1347" s="369" t="s">
        <v>37</v>
      </c>
      <c r="F1347" s="370"/>
      <c r="G1347" s="356"/>
      <c r="H1347" s="371"/>
    </row>
    <row r="1348" spans="2:8" ht="38.25">
      <c r="B1348" s="358" t="s">
        <v>1689</v>
      </c>
      <c r="C1348" s="360" t="s">
        <v>1690</v>
      </c>
      <c r="D1348" s="361" t="s">
        <v>401</v>
      </c>
      <c r="E1348" s="361" t="s">
        <v>37</v>
      </c>
      <c r="F1348" s="362">
        <v>1</v>
      </c>
      <c r="G1348" s="359">
        <v>78.17</v>
      </c>
      <c r="H1348" s="363">
        <f>F1348*G1348</f>
        <v>78.17</v>
      </c>
    </row>
    <row r="1349" spans="2:8" ht="25.5">
      <c r="B1349" s="358">
        <v>38194</v>
      </c>
      <c r="C1349" s="360" t="s">
        <v>1691</v>
      </c>
      <c r="D1349" s="361" t="s">
        <v>401</v>
      </c>
      <c r="E1349" s="361" t="s">
        <v>37</v>
      </c>
      <c r="F1349" s="362">
        <v>1</v>
      </c>
      <c r="G1349" s="359">
        <v>8.1999999999999993</v>
      </c>
      <c r="H1349" s="363">
        <f t="shared" ref="H1349:H1351" si="129">F1349*G1349</f>
        <v>8.1999999999999993</v>
      </c>
    </row>
    <row r="1350" spans="2:8" ht="25.5">
      <c r="B1350" s="358" t="s">
        <v>1622</v>
      </c>
      <c r="C1350" s="360" t="s">
        <v>1623</v>
      </c>
      <c r="D1350" s="361" t="s">
        <v>12</v>
      </c>
      <c r="E1350" s="361" t="s">
        <v>1128</v>
      </c>
      <c r="F1350" s="362" t="s">
        <v>1480</v>
      </c>
      <c r="G1350" s="359">
        <v>20.43</v>
      </c>
      <c r="H1350" s="363">
        <f t="shared" si="129"/>
        <v>3.0644999999999998</v>
      </c>
    </row>
    <row r="1351" spans="2:8" ht="25.5">
      <c r="B1351" s="358" t="s">
        <v>1624</v>
      </c>
      <c r="C1351" s="360" t="s">
        <v>1625</v>
      </c>
      <c r="D1351" s="361" t="s">
        <v>12</v>
      </c>
      <c r="E1351" s="361" t="s">
        <v>1128</v>
      </c>
      <c r="F1351" s="362" t="s">
        <v>1272</v>
      </c>
      <c r="G1351" s="359">
        <v>26.47</v>
      </c>
      <c r="H1351" s="363">
        <f t="shared" si="129"/>
        <v>6.6174999999999997</v>
      </c>
    </row>
    <row r="1352" spans="2:8">
      <c r="B1352" s="699" t="s">
        <v>1231</v>
      </c>
      <c r="C1352" s="700"/>
      <c r="D1352" s="700"/>
      <c r="E1352" s="700"/>
      <c r="F1352" s="700"/>
      <c r="G1352" s="701"/>
      <c r="H1352" s="364">
        <f>SUM(H1348:H1351)</f>
        <v>96.051999999999992</v>
      </c>
    </row>
    <row r="1353" spans="2:8">
      <c r="B1353" s="711"/>
      <c r="C1353" s="712"/>
      <c r="D1353" s="712"/>
      <c r="E1353" s="712"/>
      <c r="F1353" s="712"/>
      <c r="G1353" s="712"/>
      <c r="H1353" s="713"/>
    </row>
    <row r="1354" spans="2:8" ht="38.25">
      <c r="B1354" s="367" t="s">
        <v>2126</v>
      </c>
      <c r="C1354" s="368" t="s">
        <v>908</v>
      </c>
      <c r="D1354" s="369" t="s">
        <v>12</v>
      </c>
      <c r="E1354" s="369" t="s">
        <v>37</v>
      </c>
      <c r="F1354" s="370"/>
      <c r="G1354" s="356"/>
      <c r="H1354" s="371"/>
    </row>
    <row r="1355" spans="2:8" ht="25.5">
      <c r="B1355" s="358" t="s">
        <v>2821</v>
      </c>
      <c r="C1355" s="360" t="s">
        <v>1692</v>
      </c>
      <c r="D1355" s="361" t="s">
        <v>401</v>
      </c>
      <c r="E1355" s="361" t="s">
        <v>37</v>
      </c>
      <c r="F1355" s="362">
        <v>1</v>
      </c>
      <c r="G1355" s="359">
        <v>84.5</v>
      </c>
      <c r="H1355" s="363">
        <f>F1355*G1355</f>
        <v>84.5</v>
      </c>
    </row>
    <row r="1356" spans="2:8" ht="25.5">
      <c r="B1356" s="358">
        <v>39376</v>
      </c>
      <c r="C1356" s="360" t="s">
        <v>1693</v>
      </c>
      <c r="D1356" s="361" t="s">
        <v>401</v>
      </c>
      <c r="E1356" s="361" t="s">
        <v>37</v>
      </c>
      <c r="F1356" s="362">
        <v>1</v>
      </c>
      <c r="G1356" s="359">
        <v>42.96</v>
      </c>
      <c r="H1356" s="363">
        <f t="shared" ref="H1356:H1358" si="130">F1356*G1356</f>
        <v>42.96</v>
      </c>
    </row>
    <row r="1357" spans="2:8" ht="25.5">
      <c r="B1357" s="358" t="s">
        <v>1622</v>
      </c>
      <c r="C1357" s="360" t="s">
        <v>1623</v>
      </c>
      <c r="D1357" s="361" t="s">
        <v>12</v>
      </c>
      <c r="E1357" s="361" t="s">
        <v>1128</v>
      </c>
      <c r="F1357" s="362" t="s">
        <v>1480</v>
      </c>
      <c r="G1357" s="359">
        <v>20.43</v>
      </c>
      <c r="H1357" s="363">
        <f t="shared" si="130"/>
        <v>3.0644999999999998</v>
      </c>
    </row>
    <row r="1358" spans="2:8" ht="25.5">
      <c r="B1358" s="358" t="s">
        <v>1624</v>
      </c>
      <c r="C1358" s="360" t="s">
        <v>1625</v>
      </c>
      <c r="D1358" s="361" t="s">
        <v>12</v>
      </c>
      <c r="E1358" s="361" t="s">
        <v>1128</v>
      </c>
      <c r="F1358" s="362" t="s">
        <v>1272</v>
      </c>
      <c r="G1358" s="359">
        <v>26.47</v>
      </c>
      <c r="H1358" s="363">
        <f t="shared" si="130"/>
        <v>6.6174999999999997</v>
      </c>
    </row>
    <row r="1359" spans="2:8">
      <c r="B1359" s="699" t="s">
        <v>1231</v>
      </c>
      <c r="C1359" s="700"/>
      <c r="D1359" s="700"/>
      <c r="E1359" s="700"/>
      <c r="F1359" s="700"/>
      <c r="G1359" s="701"/>
      <c r="H1359" s="364">
        <f>SUM(H1355:H1358)</f>
        <v>137.14200000000002</v>
      </c>
    </row>
    <row r="1360" spans="2:8">
      <c r="B1360" s="365"/>
      <c r="C1360" s="366"/>
      <c r="D1360" s="366"/>
      <c r="E1360" s="366"/>
      <c r="F1360" s="366"/>
      <c r="G1360" s="366"/>
      <c r="H1360" s="381"/>
    </row>
    <row r="1361" spans="2:8" ht="25.5">
      <c r="B1361" s="367" t="s">
        <v>2127</v>
      </c>
      <c r="C1361" s="368" t="s">
        <v>1930</v>
      </c>
      <c r="D1361" s="369" t="s">
        <v>12</v>
      </c>
      <c r="E1361" s="369" t="s">
        <v>37</v>
      </c>
      <c r="F1361" s="370"/>
      <c r="G1361" s="356"/>
      <c r="H1361" s="371"/>
    </row>
    <row r="1362" spans="2:8" ht="25.5">
      <c r="B1362" s="358">
        <v>1088</v>
      </c>
      <c r="C1362" s="360" t="s">
        <v>1931</v>
      </c>
      <c r="D1362" s="361" t="s">
        <v>401</v>
      </c>
      <c r="E1362" s="361" t="s">
        <v>37</v>
      </c>
      <c r="F1362" s="362">
        <v>1</v>
      </c>
      <c r="G1362" s="359">
        <v>17.27</v>
      </c>
      <c r="H1362" s="363">
        <f>F1362*G1362</f>
        <v>17.27</v>
      </c>
    </row>
    <row r="1363" spans="2:8" ht="25.5">
      <c r="B1363" s="358">
        <v>12295</v>
      </c>
      <c r="C1363" s="360" t="s">
        <v>1932</v>
      </c>
      <c r="D1363" s="361" t="s">
        <v>401</v>
      </c>
      <c r="E1363" s="361" t="s">
        <v>37</v>
      </c>
      <c r="F1363" s="362">
        <v>2</v>
      </c>
      <c r="G1363" s="359">
        <v>2.99</v>
      </c>
      <c r="H1363" s="363">
        <f t="shared" ref="H1363:H1367" si="131">F1363*G1363</f>
        <v>5.98</v>
      </c>
    </row>
    <row r="1364" spans="2:8" ht="25.5">
      <c r="B1364" s="358">
        <v>38778</v>
      </c>
      <c r="C1364" s="360" t="s">
        <v>1933</v>
      </c>
      <c r="D1364" s="361" t="s">
        <v>401</v>
      </c>
      <c r="E1364" s="361" t="s">
        <v>37</v>
      </c>
      <c r="F1364" s="362">
        <v>1</v>
      </c>
      <c r="G1364" s="359">
        <v>7.76</v>
      </c>
      <c r="H1364" s="363">
        <f t="shared" si="131"/>
        <v>7.76</v>
      </c>
    </row>
    <row r="1365" spans="2:8" ht="38.25">
      <c r="B1365" s="358">
        <v>394</v>
      </c>
      <c r="C1365" s="360" t="s">
        <v>1934</v>
      </c>
      <c r="D1365" s="361" t="s">
        <v>401</v>
      </c>
      <c r="E1365" s="361" t="s">
        <v>37</v>
      </c>
      <c r="F1365" s="362">
        <v>2</v>
      </c>
      <c r="G1365" s="359">
        <v>3.1</v>
      </c>
      <c r="H1365" s="363">
        <f t="shared" si="131"/>
        <v>6.2</v>
      </c>
    </row>
    <row r="1366" spans="2:8" ht="25.5">
      <c r="B1366" s="358" t="s">
        <v>1622</v>
      </c>
      <c r="C1366" s="360" t="s">
        <v>1623</v>
      </c>
      <c r="D1366" s="361" t="s">
        <v>12</v>
      </c>
      <c r="E1366" s="361" t="s">
        <v>1128</v>
      </c>
      <c r="F1366" s="362" t="s">
        <v>1278</v>
      </c>
      <c r="G1366" s="359">
        <v>20.43</v>
      </c>
      <c r="H1366" s="363">
        <f t="shared" si="131"/>
        <v>2.0430000000000001</v>
      </c>
    </row>
    <row r="1367" spans="2:8" ht="25.5">
      <c r="B1367" s="358" t="s">
        <v>1624</v>
      </c>
      <c r="C1367" s="360" t="s">
        <v>1625</v>
      </c>
      <c r="D1367" s="361" t="s">
        <v>12</v>
      </c>
      <c r="E1367" s="361" t="s">
        <v>1128</v>
      </c>
      <c r="F1367" s="362" t="s">
        <v>1272</v>
      </c>
      <c r="G1367" s="359">
        <v>26.47</v>
      </c>
      <c r="H1367" s="363">
        <f t="shared" si="131"/>
        <v>6.6174999999999997</v>
      </c>
    </row>
    <row r="1368" spans="2:8">
      <c r="B1368" s="748" t="s">
        <v>1231</v>
      </c>
      <c r="C1368" s="749"/>
      <c r="D1368" s="749"/>
      <c r="E1368" s="749"/>
      <c r="F1368" s="749"/>
      <c r="G1368" s="750"/>
      <c r="H1368" s="410">
        <f>SUM(H1362:H1367)</f>
        <v>45.8705</v>
      </c>
    </row>
    <row r="1369" spans="2:8">
      <c r="B1369" s="702"/>
      <c r="C1369" s="703"/>
      <c r="D1369" s="703"/>
      <c r="E1369" s="703"/>
      <c r="F1369" s="703"/>
      <c r="G1369" s="703"/>
      <c r="H1369" s="704"/>
    </row>
    <row r="1370" spans="2:8" ht="25.5">
      <c r="B1370" s="367" t="s">
        <v>2198</v>
      </c>
      <c r="C1370" s="368" t="s">
        <v>928</v>
      </c>
      <c r="D1370" s="369" t="s">
        <v>12</v>
      </c>
      <c r="E1370" s="369" t="s">
        <v>37</v>
      </c>
      <c r="F1370" s="370"/>
      <c r="G1370" s="356"/>
      <c r="H1370" s="371"/>
    </row>
    <row r="1371" spans="2:8" ht="25.5">
      <c r="B1371" s="358" t="s">
        <v>1694</v>
      </c>
      <c r="C1371" s="360" t="s">
        <v>1695</v>
      </c>
      <c r="D1371" s="361" t="s">
        <v>401</v>
      </c>
      <c r="E1371" s="361" t="s">
        <v>37</v>
      </c>
      <c r="F1371" s="362">
        <v>1</v>
      </c>
      <c r="G1371" s="359">
        <v>60</v>
      </c>
      <c r="H1371" s="363">
        <f>F1371*G1371</f>
        <v>60</v>
      </c>
    </row>
    <row r="1372" spans="2:8" ht="51">
      <c r="B1372" s="358">
        <v>38100</v>
      </c>
      <c r="C1372" s="360" t="s">
        <v>1696</v>
      </c>
      <c r="D1372" s="361" t="s">
        <v>401</v>
      </c>
      <c r="E1372" s="361" t="s">
        <v>37</v>
      </c>
      <c r="F1372" s="362">
        <v>2</v>
      </c>
      <c r="G1372" s="359">
        <v>2.88</v>
      </c>
      <c r="H1372" s="363">
        <f t="shared" ref="H1372:H1375" si="132">F1372*G1372</f>
        <v>5.76</v>
      </c>
    </row>
    <row r="1373" spans="2:8" ht="25.5">
      <c r="B1373" s="358">
        <v>7524</v>
      </c>
      <c r="C1373" s="360" t="s">
        <v>1697</v>
      </c>
      <c r="D1373" s="361" t="s">
        <v>401</v>
      </c>
      <c r="E1373" s="361" t="s">
        <v>37</v>
      </c>
      <c r="F1373" s="362">
        <v>1</v>
      </c>
      <c r="G1373" s="359">
        <v>49.6</v>
      </c>
      <c r="H1373" s="363">
        <f t="shared" si="132"/>
        <v>49.6</v>
      </c>
    </row>
    <row r="1374" spans="2:8" ht="25.5">
      <c r="B1374" s="358" t="s">
        <v>1622</v>
      </c>
      <c r="C1374" s="360" t="s">
        <v>1623</v>
      </c>
      <c r="D1374" s="361" t="s">
        <v>12</v>
      </c>
      <c r="E1374" s="361" t="s">
        <v>1128</v>
      </c>
      <c r="F1374" s="362" t="s">
        <v>1342</v>
      </c>
      <c r="G1374" s="359">
        <v>20.43</v>
      </c>
      <c r="H1374" s="363">
        <f t="shared" si="132"/>
        <v>12.257999999999999</v>
      </c>
    </row>
    <row r="1375" spans="2:8" ht="25.5">
      <c r="B1375" s="358" t="s">
        <v>1624</v>
      </c>
      <c r="C1375" s="360" t="s">
        <v>1625</v>
      </c>
      <c r="D1375" s="361" t="s">
        <v>12</v>
      </c>
      <c r="E1375" s="361" t="s">
        <v>1128</v>
      </c>
      <c r="F1375" s="362" t="s">
        <v>1342</v>
      </c>
      <c r="G1375" s="359">
        <v>26.47</v>
      </c>
      <c r="H1375" s="363">
        <f t="shared" si="132"/>
        <v>15.881999999999998</v>
      </c>
    </row>
    <row r="1376" spans="2:8">
      <c r="B1376" s="699" t="s">
        <v>1231</v>
      </c>
      <c r="C1376" s="700"/>
      <c r="D1376" s="700"/>
      <c r="E1376" s="700"/>
      <c r="F1376" s="700"/>
      <c r="G1376" s="701"/>
      <c r="H1376" s="364">
        <f>SUM(H1371:H1375)</f>
        <v>143.5</v>
      </c>
    </row>
    <row r="1377" spans="2:8">
      <c r="B1377" s="711"/>
      <c r="C1377" s="712"/>
      <c r="D1377" s="712"/>
      <c r="E1377" s="712"/>
      <c r="F1377" s="712"/>
      <c r="G1377" s="712"/>
      <c r="H1377" s="713"/>
    </row>
    <row r="1378" spans="2:8" ht="25.5">
      <c r="B1378" s="367" t="s">
        <v>2199</v>
      </c>
      <c r="C1378" s="368" t="s">
        <v>940</v>
      </c>
      <c r="D1378" s="369" t="s">
        <v>12</v>
      </c>
      <c r="E1378" s="369" t="s">
        <v>37</v>
      </c>
      <c r="F1378" s="370"/>
      <c r="G1378" s="356"/>
      <c r="H1378" s="371"/>
    </row>
    <row r="1379" spans="2:8" ht="25.5">
      <c r="B1379" s="358">
        <v>10956</v>
      </c>
      <c r="C1379" s="360" t="s">
        <v>1698</v>
      </c>
      <c r="D1379" s="361" t="s">
        <v>401</v>
      </c>
      <c r="E1379" s="361" t="s">
        <v>37</v>
      </c>
      <c r="F1379" s="362">
        <v>2</v>
      </c>
      <c r="G1379" s="359">
        <v>53.17</v>
      </c>
      <c r="H1379" s="363">
        <f>F1379*G1379</f>
        <v>106.34</v>
      </c>
    </row>
    <row r="1380" spans="2:8" ht="38.25">
      <c r="B1380" s="358">
        <v>11270</v>
      </c>
      <c r="C1380" s="360" t="s">
        <v>1699</v>
      </c>
      <c r="D1380" s="361" t="s">
        <v>401</v>
      </c>
      <c r="E1380" s="361" t="s">
        <v>37</v>
      </c>
      <c r="F1380" s="362">
        <v>4</v>
      </c>
      <c r="G1380" s="359">
        <v>2.89</v>
      </c>
      <c r="H1380" s="363">
        <f t="shared" ref="H1380:H1407" si="133">F1380*G1380</f>
        <v>11.56</v>
      </c>
    </row>
    <row r="1381" spans="2:8" ht="51">
      <c r="B1381" s="358">
        <v>11927</v>
      </c>
      <c r="C1381" s="360" t="s">
        <v>1700</v>
      </c>
      <c r="D1381" s="361" t="s">
        <v>401</v>
      </c>
      <c r="E1381" s="361" t="s">
        <v>37</v>
      </c>
      <c r="F1381" s="362">
        <v>1</v>
      </c>
      <c r="G1381" s="359">
        <v>8.6300000000000008</v>
      </c>
      <c r="H1381" s="363">
        <f t="shared" si="133"/>
        <v>8.6300000000000008</v>
      </c>
    </row>
    <row r="1382" spans="2:8" ht="25.5">
      <c r="B1382" s="358">
        <v>11976</v>
      </c>
      <c r="C1382" s="360" t="s">
        <v>1685</v>
      </c>
      <c r="D1382" s="361" t="s">
        <v>401</v>
      </c>
      <c r="E1382" s="361" t="s">
        <v>37</v>
      </c>
      <c r="F1382" s="362">
        <v>10</v>
      </c>
      <c r="G1382" s="359">
        <v>1.34</v>
      </c>
      <c r="H1382" s="363">
        <f t="shared" si="133"/>
        <v>13.4</v>
      </c>
    </row>
    <row r="1383" spans="2:8" ht="38.25">
      <c r="B1383" s="358">
        <v>41388</v>
      </c>
      <c r="C1383" s="360" t="s">
        <v>1701</v>
      </c>
      <c r="D1383" s="361" t="s">
        <v>401</v>
      </c>
      <c r="E1383" s="361" t="s">
        <v>15</v>
      </c>
      <c r="F1383" s="362">
        <v>3</v>
      </c>
      <c r="G1383" s="359">
        <v>57.29</v>
      </c>
      <c r="H1383" s="363">
        <f t="shared" si="133"/>
        <v>171.87</v>
      </c>
    </row>
    <row r="1384" spans="2:8" ht="38.25">
      <c r="B1384" s="358">
        <v>1564</v>
      </c>
      <c r="C1384" s="360" t="s">
        <v>1702</v>
      </c>
      <c r="D1384" s="361" t="s">
        <v>401</v>
      </c>
      <c r="E1384" s="361" t="s">
        <v>37</v>
      </c>
      <c r="F1384" s="362">
        <v>1</v>
      </c>
      <c r="G1384" s="359">
        <v>13.73</v>
      </c>
      <c r="H1384" s="363">
        <f t="shared" si="133"/>
        <v>13.73</v>
      </c>
    </row>
    <row r="1385" spans="2:8" ht="38.25">
      <c r="B1385" s="358">
        <v>1587</v>
      </c>
      <c r="C1385" s="360" t="s">
        <v>1703</v>
      </c>
      <c r="D1385" s="361" t="s">
        <v>401</v>
      </c>
      <c r="E1385" s="361" t="s">
        <v>37</v>
      </c>
      <c r="F1385" s="362">
        <v>12</v>
      </c>
      <c r="G1385" s="359">
        <v>6.87</v>
      </c>
      <c r="H1385" s="363">
        <f t="shared" si="133"/>
        <v>82.44</v>
      </c>
    </row>
    <row r="1386" spans="2:8" ht="38.25">
      <c r="B1386" s="358">
        <v>1588</v>
      </c>
      <c r="C1386" s="360" t="s">
        <v>1704</v>
      </c>
      <c r="D1386" s="361" t="s">
        <v>401</v>
      </c>
      <c r="E1386" s="361" t="s">
        <v>37</v>
      </c>
      <c r="F1386" s="362">
        <v>2</v>
      </c>
      <c r="G1386" s="359">
        <v>9.42</v>
      </c>
      <c r="H1386" s="363">
        <f t="shared" si="133"/>
        <v>18.84</v>
      </c>
    </row>
    <row r="1387" spans="2:8" ht="38.25">
      <c r="B1387" s="358">
        <v>1589</v>
      </c>
      <c r="C1387" s="360" t="s">
        <v>1705</v>
      </c>
      <c r="D1387" s="361" t="s">
        <v>401</v>
      </c>
      <c r="E1387" s="361" t="s">
        <v>37</v>
      </c>
      <c r="F1387" s="362">
        <v>2</v>
      </c>
      <c r="G1387" s="359">
        <v>9.7200000000000006</v>
      </c>
      <c r="H1387" s="363">
        <f t="shared" si="133"/>
        <v>19.440000000000001</v>
      </c>
    </row>
    <row r="1388" spans="2:8" ht="38.25">
      <c r="B1388" s="358">
        <v>1598</v>
      </c>
      <c r="C1388" s="360" t="s">
        <v>1706</v>
      </c>
      <c r="D1388" s="361" t="s">
        <v>401</v>
      </c>
      <c r="E1388" s="361" t="s">
        <v>37</v>
      </c>
      <c r="F1388" s="362">
        <v>12</v>
      </c>
      <c r="G1388" s="359">
        <v>12.85</v>
      </c>
      <c r="H1388" s="363">
        <f t="shared" si="133"/>
        <v>154.19999999999999</v>
      </c>
    </row>
    <row r="1389" spans="2:8" ht="25.5">
      <c r="B1389" s="358">
        <v>1942</v>
      </c>
      <c r="C1389" s="360" t="s">
        <v>1707</v>
      </c>
      <c r="D1389" s="361" t="s">
        <v>401</v>
      </c>
      <c r="E1389" s="361" t="s">
        <v>37</v>
      </c>
      <c r="F1389" s="362">
        <v>2</v>
      </c>
      <c r="G1389" s="359">
        <v>48.54</v>
      </c>
      <c r="H1389" s="363">
        <f t="shared" si="133"/>
        <v>97.08</v>
      </c>
    </row>
    <row r="1390" spans="2:8" ht="38.25">
      <c r="B1390" s="358">
        <v>3278</v>
      </c>
      <c r="C1390" s="360" t="s">
        <v>1708</v>
      </c>
      <c r="D1390" s="361" t="s">
        <v>401</v>
      </c>
      <c r="E1390" s="361" t="s">
        <v>37</v>
      </c>
      <c r="F1390" s="362">
        <v>6</v>
      </c>
      <c r="G1390" s="359">
        <f>79.65*1.2173</f>
        <v>96.957945000000009</v>
      </c>
      <c r="H1390" s="363">
        <f t="shared" si="133"/>
        <v>581.74767000000008</v>
      </c>
    </row>
    <row r="1391" spans="2:8" ht="51">
      <c r="B1391" s="358">
        <v>3379</v>
      </c>
      <c r="C1391" s="360" t="s">
        <v>2128</v>
      </c>
      <c r="D1391" s="361" t="s">
        <v>401</v>
      </c>
      <c r="E1391" s="361" t="s">
        <v>37</v>
      </c>
      <c r="F1391" s="362">
        <v>6</v>
      </c>
      <c r="G1391" s="359">
        <v>70.55</v>
      </c>
      <c r="H1391" s="363">
        <f t="shared" si="133"/>
        <v>423.29999999999995</v>
      </c>
    </row>
    <row r="1392" spans="2:8" ht="38.25">
      <c r="B1392" s="358">
        <v>3384</v>
      </c>
      <c r="C1392" s="360" t="s">
        <v>1709</v>
      </c>
      <c r="D1392" s="361" t="s">
        <v>401</v>
      </c>
      <c r="E1392" s="361" t="s">
        <v>37</v>
      </c>
      <c r="F1392" s="362">
        <v>10</v>
      </c>
      <c r="G1392" s="359">
        <v>8.3699999999999992</v>
      </c>
      <c r="H1392" s="363">
        <f t="shared" si="133"/>
        <v>83.699999999999989</v>
      </c>
    </row>
    <row r="1393" spans="2:8" ht="25.5">
      <c r="B1393" s="358">
        <v>3879</v>
      </c>
      <c r="C1393" s="360" t="s">
        <v>1710</v>
      </c>
      <c r="D1393" s="361" t="s">
        <v>401</v>
      </c>
      <c r="E1393" s="361" t="s">
        <v>37</v>
      </c>
      <c r="F1393" s="362">
        <v>2</v>
      </c>
      <c r="G1393" s="359">
        <v>18.87</v>
      </c>
      <c r="H1393" s="363">
        <f t="shared" si="133"/>
        <v>37.74</v>
      </c>
    </row>
    <row r="1394" spans="2:8" ht="38.25">
      <c r="B1394" s="358">
        <v>3925</v>
      </c>
      <c r="C1394" s="360" t="s">
        <v>1711</v>
      </c>
      <c r="D1394" s="361" t="s">
        <v>401</v>
      </c>
      <c r="E1394" s="361" t="s">
        <v>37</v>
      </c>
      <c r="F1394" s="362">
        <v>1</v>
      </c>
      <c r="G1394" s="359">
        <v>40.89</v>
      </c>
      <c r="H1394" s="363">
        <f t="shared" si="133"/>
        <v>40.89</v>
      </c>
    </row>
    <row r="1395" spans="2:8" ht="38.25">
      <c r="B1395" s="358">
        <v>396</v>
      </c>
      <c r="C1395" s="360" t="s">
        <v>1712</v>
      </c>
      <c r="D1395" s="361" t="s">
        <v>401</v>
      </c>
      <c r="E1395" s="361" t="s">
        <v>37</v>
      </c>
      <c r="F1395" s="362">
        <v>6</v>
      </c>
      <c r="G1395" s="359">
        <v>3.44</v>
      </c>
      <c r="H1395" s="363">
        <f t="shared" si="133"/>
        <v>20.64</v>
      </c>
    </row>
    <row r="1396" spans="2:8" ht="25.5">
      <c r="B1396" s="358">
        <v>421</v>
      </c>
      <c r="C1396" s="360" t="s">
        <v>1713</v>
      </c>
      <c r="D1396" s="361" t="s">
        <v>401</v>
      </c>
      <c r="E1396" s="361" t="s">
        <v>37</v>
      </c>
      <c r="F1396" s="362">
        <v>3</v>
      </c>
      <c r="G1396" s="359">
        <v>17.07</v>
      </c>
      <c r="H1396" s="363">
        <f t="shared" si="133"/>
        <v>51.21</v>
      </c>
    </row>
    <row r="1397" spans="2:8" ht="38.25">
      <c r="B1397" s="358">
        <v>425</v>
      </c>
      <c r="C1397" s="360" t="s">
        <v>1714</v>
      </c>
      <c r="D1397" s="361" t="s">
        <v>401</v>
      </c>
      <c r="E1397" s="361" t="s">
        <v>37</v>
      </c>
      <c r="F1397" s="362">
        <v>4</v>
      </c>
      <c r="G1397" s="359">
        <v>6.69</v>
      </c>
      <c r="H1397" s="363">
        <f t="shared" si="133"/>
        <v>26.76</v>
      </c>
    </row>
    <row r="1398" spans="2:8" ht="51">
      <c r="B1398" s="358">
        <v>4274</v>
      </c>
      <c r="C1398" s="360" t="s">
        <v>1715</v>
      </c>
      <c r="D1398" s="361" t="s">
        <v>401</v>
      </c>
      <c r="E1398" s="361" t="s">
        <v>37</v>
      </c>
      <c r="F1398" s="362">
        <v>1</v>
      </c>
      <c r="G1398" s="359">
        <v>120.16</v>
      </c>
      <c r="H1398" s="363">
        <f t="shared" si="133"/>
        <v>120.16</v>
      </c>
    </row>
    <row r="1399" spans="2:8" ht="38.25">
      <c r="B1399" s="358">
        <v>7572</v>
      </c>
      <c r="C1399" s="360" t="s">
        <v>1716</v>
      </c>
      <c r="D1399" s="361" t="s">
        <v>401</v>
      </c>
      <c r="E1399" s="361" t="s">
        <v>37</v>
      </c>
      <c r="F1399" s="362">
        <v>2</v>
      </c>
      <c r="G1399" s="359">
        <v>7</v>
      </c>
      <c r="H1399" s="363">
        <f t="shared" si="133"/>
        <v>14</v>
      </c>
    </row>
    <row r="1400" spans="2:8" ht="38.25">
      <c r="B1400" s="358">
        <v>7581</v>
      </c>
      <c r="C1400" s="360" t="s">
        <v>1717</v>
      </c>
      <c r="D1400" s="361" t="s">
        <v>401</v>
      </c>
      <c r="E1400" s="361" t="s">
        <v>37</v>
      </c>
      <c r="F1400" s="362">
        <v>2</v>
      </c>
      <c r="G1400" s="359">
        <v>5.36</v>
      </c>
      <c r="H1400" s="363">
        <f t="shared" si="133"/>
        <v>10.72</v>
      </c>
    </row>
    <row r="1401" spans="2:8" ht="38.25">
      <c r="B1401" s="358">
        <v>765</v>
      </c>
      <c r="C1401" s="360" t="s">
        <v>1718</v>
      </c>
      <c r="D1401" s="361" t="s">
        <v>401</v>
      </c>
      <c r="E1401" s="361" t="s">
        <v>37</v>
      </c>
      <c r="F1401" s="362">
        <v>1</v>
      </c>
      <c r="G1401" s="359">
        <v>10.49</v>
      </c>
      <c r="H1401" s="363">
        <f t="shared" si="133"/>
        <v>10.49</v>
      </c>
    </row>
    <row r="1402" spans="2:8" ht="25.5">
      <c r="B1402" s="358">
        <v>841</v>
      </c>
      <c r="C1402" s="360" t="s">
        <v>1719</v>
      </c>
      <c r="D1402" s="361" t="s">
        <v>401</v>
      </c>
      <c r="E1402" s="361" t="s">
        <v>112</v>
      </c>
      <c r="F1402" s="362">
        <v>1</v>
      </c>
      <c r="G1402" s="359">
        <v>53.83</v>
      </c>
      <c r="H1402" s="363">
        <f t="shared" si="133"/>
        <v>53.83</v>
      </c>
    </row>
    <row r="1403" spans="2:8">
      <c r="B1403" s="358">
        <v>863</v>
      </c>
      <c r="C1403" s="360" t="s">
        <v>1720</v>
      </c>
      <c r="D1403" s="361" t="s">
        <v>401</v>
      </c>
      <c r="E1403" s="361" t="s">
        <v>15</v>
      </c>
      <c r="F1403" s="362">
        <v>30</v>
      </c>
      <c r="G1403" s="359">
        <v>40.4</v>
      </c>
      <c r="H1403" s="363">
        <f t="shared" si="133"/>
        <v>1212</v>
      </c>
    </row>
    <row r="1404" spans="2:8">
      <c r="B1404" s="358">
        <v>867</v>
      </c>
      <c r="C1404" s="360" t="s">
        <v>1721</v>
      </c>
      <c r="D1404" s="361" t="s">
        <v>401</v>
      </c>
      <c r="E1404" s="361" t="s">
        <v>15</v>
      </c>
      <c r="F1404" s="362">
        <v>20</v>
      </c>
      <c r="G1404" s="359">
        <v>57.55</v>
      </c>
      <c r="H1404" s="363">
        <f t="shared" si="133"/>
        <v>1151</v>
      </c>
    </row>
    <row r="1405" spans="2:8" ht="25.5">
      <c r="B1405" s="358" t="s">
        <v>1622</v>
      </c>
      <c r="C1405" s="360" t="s">
        <v>1623</v>
      </c>
      <c r="D1405" s="361" t="s">
        <v>12</v>
      </c>
      <c r="E1405" s="361" t="s">
        <v>1128</v>
      </c>
      <c r="F1405" s="362">
        <v>8</v>
      </c>
      <c r="G1405" s="359">
        <v>20.43</v>
      </c>
      <c r="H1405" s="363">
        <f t="shared" si="133"/>
        <v>163.44</v>
      </c>
    </row>
    <row r="1406" spans="2:8" ht="25.5">
      <c r="B1406" s="358" t="s">
        <v>1722</v>
      </c>
      <c r="C1406" s="360" t="s">
        <v>1723</v>
      </c>
      <c r="D1406" s="361" t="s">
        <v>12</v>
      </c>
      <c r="E1406" s="361" t="s">
        <v>1128</v>
      </c>
      <c r="F1406" s="362">
        <v>8</v>
      </c>
      <c r="G1406" s="359">
        <v>26.47</v>
      </c>
      <c r="H1406" s="363">
        <f t="shared" si="133"/>
        <v>211.76</v>
      </c>
    </row>
    <row r="1407" spans="2:8" ht="25.5">
      <c r="B1407" s="425">
        <v>9860</v>
      </c>
      <c r="C1407" s="426" t="s">
        <v>1724</v>
      </c>
      <c r="D1407" s="427" t="s">
        <v>401</v>
      </c>
      <c r="E1407" s="427" t="s">
        <v>15</v>
      </c>
      <c r="F1407" s="428">
        <v>6</v>
      </c>
      <c r="G1407" s="429">
        <v>55.07</v>
      </c>
      <c r="H1407" s="430">
        <f t="shared" si="133"/>
        <v>330.42</v>
      </c>
    </row>
    <row r="1408" spans="2:8">
      <c r="B1408" s="772" t="s">
        <v>1231</v>
      </c>
      <c r="C1408" s="773"/>
      <c r="D1408" s="773"/>
      <c r="E1408" s="773"/>
      <c r="F1408" s="773"/>
      <c r="G1408" s="774"/>
      <c r="H1408" s="389">
        <f>SUM(H1379:H1407)</f>
        <v>5241.3376699999999</v>
      </c>
    </row>
    <row r="1409" spans="2:8">
      <c r="B1409" s="702"/>
      <c r="C1409" s="703"/>
      <c r="D1409" s="703"/>
      <c r="E1409" s="703"/>
      <c r="F1409" s="703"/>
      <c r="G1409" s="703"/>
      <c r="H1409" s="704"/>
    </row>
    <row r="1410" spans="2:8" ht="51">
      <c r="B1410" s="367" t="s">
        <v>2200</v>
      </c>
      <c r="C1410" s="368" t="s">
        <v>941</v>
      </c>
      <c r="D1410" s="369" t="s">
        <v>12</v>
      </c>
      <c r="E1410" s="369" t="s">
        <v>37</v>
      </c>
      <c r="F1410" s="370"/>
      <c r="G1410" s="356"/>
      <c r="H1410" s="371"/>
    </row>
    <row r="1411" spans="2:8" ht="51">
      <c r="B1411" s="358">
        <v>1562</v>
      </c>
      <c r="C1411" s="360" t="s">
        <v>1725</v>
      </c>
      <c r="D1411" s="361" t="s">
        <v>401</v>
      </c>
      <c r="E1411" s="361" t="s">
        <v>37</v>
      </c>
      <c r="F1411" s="362">
        <v>1</v>
      </c>
      <c r="G1411" s="359">
        <v>16.25</v>
      </c>
      <c r="H1411" s="363">
        <f>F1411*G1411</f>
        <v>16.25</v>
      </c>
    </row>
    <row r="1412" spans="2:8" ht="25.5">
      <c r="B1412" s="358" t="s">
        <v>1624</v>
      </c>
      <c r="C1412" s="360" t="s">
        <v>1625</v>
      </c>
      <c r="D1412" s="361" t="s">
        <v>12</v>
      </c>
      <c r="E1412" s="361" t="s">
        <v>1128</v>
      </c>
      <c r="F1412" s="362" t="s">
        <v>1334</v>
      </c>
      <c r="G1412" s="359">
        <v>26.47</v>
      </c>
      <c r="H1412" s="363">
        <f>F1412*G1412</f>
        <v>1.8529</v>
      </c>
    </row>
    <row r="1413" spans="2:8">
      <c r="B1413" s="699" t="s">
        <v>1231</v>
      </c>
      <c r="C1413" s="700"/>
      <c r="D1413" s="700"/>
      <c r="E1413" s="700"/>
      <c r="F1413" s="700"/>
      <c r="G1413" s="701"/>
      <c r="H1413" s="364">
        <f>SUM(H1411:H1412)</f>
        <v>18.102899999999998</v>
      </c>
    </row>
    <row r="1414" spans="2:8">
      <c r="B1414" s="711"/>
      <c r="C1414" s="712"/>
      <c r="D1414" s="712"/>
      <c r="E1414" s="712"/>
      <c r="F1414" s="712"/>
      <c r="G1414" s="712"/>
      <c r="H1414" s="713"/>
    </row>
    <row r="1415" spans="2:8" ht="25.5">
      <c r="B1415" s="367" t="s">
        <v>2129</v>
      </c>
      <c r="C1415" s="368" t="s">
        <v>949</v>
      </c>
      <c r="D1415" s="369" t="s">
        <v>12</v>
      </c>
      <c r="E1415" s="369" t="s">
        <v>37</v>
      </c>
      <c r="F1415" s="370"/>
      <c r="G1415" s="356"/>
      <c r="H1415" s="371"/>
    </row>
    <row r="1416" spans="2:8" ht="38.25">
      <c r="B1416" s="358">
        <v>11249</v>
      </c>
      <c r="C1416" s="360" t="s">
        <v>2130</v>
      </c>
      <c r="D1416" s="361" t="s">
        <v>401</v>
      </c>
      <c r="E1416" s="361" t="s">
        <v>37</v>
      </c>
      <c r="F1416" s="362">
        <v>1</v>
      </c>
      <c r="G1416" s="359">
        <v>3726.86</v>
      </c>
      <c r="H1416" s="363">
        <f>F1416*G1416</f>
        <v>3726.86</v>
      </c>
    </row>
    <row r="1417" spans="2:8" ht="25.5">
      <c r="B1417" s="358" t="s">
        <v>1622</v>
      </c>
      <c r="C1417" s="360" t="s">
        <v>1623</v>
      </c>
      <c r="D1417" s="361" t="s">
        <v>12</v>
      </c>
      <c r="E1417" s="361" t="s">
        <v>1128</v>
      </c>
      <c r="F1417" s="362">
        <v>6</v>
      </c>
      <c r="G1417" s="359">
        <v>20.43</v>
      </c>
      <c r="H1417" s="363">
        <f t="shared" ref="H1417:H1418" si="134">F1417*G1417</f>
        <v>122.58</v>
      </c>
    </row>
    <row r="1418" spans="2:8" ht="25.5">
      <c r="B1418" s="358" t="s">
        <v>1624</v>
      </c>
      <c r="C1418" s="360" t="s">
        <v>1625</v>
      </c>
      <c r="D1418" s="361" t="s">
        <v>12</v>
      </c>
      <c r="E1418" s="361" t="s">
        <v>1128</v>
      </c>
      <c r="F1418" s="362">
        <v>6</v>
      </c>
      <c r="G1418" s="359">
        <v>26.47</v>
      </c>
      <c r="H1418" s="363">
        <f t="shared" si="134"/>
        <v>158.82</v>
      </c>
    </row>
    <row r="1419" spans="2:8">
      <c r="B1419" s="699" t="s">
        <v>1231</v>
      </c>
      <c r="C1419" s="700"/>
      <c r="D1419" s="700"/>
      <c r="E1419" s="700"/>
      <c r="F1419" s="700"/>
      <c r="G1419" s="701"/>
      <c r="H1419" s="364">
        <f>SUM(H1416:H1418)</f>
        <v>4008.26</v>
      </c>
    </row>
    <row r="1420" spans="2:8">
      <c r="B1420" s="711"/>
      <c r="C1420" s="712"/>
      <c r="D1420" s="712"/>
      <c r="E1420" s="712"/>
      <c r="F1420" s="712"/>
      <c r="G1420" s="712"/>
      <c r="H1420" s="713"/>
    </row>
    <row r="1421" spans="2:8" ht="51">
      <c r="B1421" s="367" t="s">
        <v>2131</v>
      </c>
      <c r="C1421" s="368" t="s">
        <v>950</v>
      </c>
      <c r="D1421" s="369" t="s">
        <v>12</v>
      </c>
      <c r="E1421" s="369" t="s">
        <v>37</v>
      </c>
      <c r="F1421" s="370"/>
      <c r="G1421" s="356"/>
      <c r="H1421" s="371"/>
    </row>
    <row r="1422" spans="2:8">
      <c r="B1422" s="358">
        <v>32</v>
      </c>
      <c r="C1422" s="360" t="s">
        <v>1726</v>
      </c>
      <c r="D1422" s="361" t="s">
        <v>401</v>
      </c>
      <c r="E1422" s="361" t="s">
        <v>112</v>
      </c>
      <c r="F1422" s="362">
        <v>3.78</v>
      </c>
      <c r="G1422" s="359">
        <v>10.35</v>
      </c>
      <c r="H1422" s="363">
        <f>F1422*G1422</f>
        <v>39.122999999999998</v>
      </c>
    </row>
    <row r="1423" spans="2:8" ht="25.5">
      <c r="B1423" s="358">
        <v>345</v>
      </c>
      <c r="C1423" s="360" t="s">
        <v>2132</v>
      </c>
      <c r="D1423" s="361" t="s">
        <v>401</v>
      </c>
      <c r="E1423" s="361" t="s">
        <v>112</v>
      </c>
      <c r="F1423" s="362" t="s">
        <v>1358</v>
      </c>
      <c r="G1423" s="359">
        <v>32.26</v>
      </c>
      <c r="H1423" s="363">
        <f t="shared" ref="H1423:H1433" si="135">F1423*G1423</f>
        <v>3.6453799999999998</v>
      </c>
    </row>
    <row r="1424" spans="2:8" ht="89.25">
      <c r="B1424" s="358" t="s">
        <v>2822</v>
      </c>
      <c r="C1424" s="360" t="s">
        <v>1727</v>
      </c>
      <c r="D1424" s="361" t="s">
        <v>12</v>
      </c>
      <c r="E1424" s="361" t="s">
        <v>24</v>
      </c>
      <c r="F1424" s="362">
        <v>1.1499999999999999</v>
      </c>
      <c r="G1424" s="359">
        <v>76.430000000000007</v>
      </c>
      <c r="H1424" s="363">
        <f t="shared" si="135"/>
        <v>87.894500000000008</v>
      </c>
    </row>
    <row r="1425" spans="2:8" ht="114.75">
      <c r="B1425" s="358" t="s">
        <v>1728</v>
      </c>
      <c r="C1425" s="360" t="s">
        <v>1729</v>
      </c>
      <c r="D1425" s="361" t="s">
        <v>12</v>
      </c>
      <c r="E1425" s="361" t="s">
        <v>24</v>
      </c>
      <c r="F1425" s="362" t="s">
        <v>1268</v>
      </c>
      <c r="G1425" s="359">
        <v>29.55</v>
      </c>
      <c r="H1425" s="363">
        <f t="shared" si="135"/>
        <v>28.072499999999998</v>
      </c>
    </row>
    <row r="1426" spans="2:8" ht="63.75">
      <c r="B1426" s="358" t="s">
        <v>436</v>
      </c>
      <c r="C1426" s="360" t="s">
        <v>437</v>
      </c>
      <c r="D1426" s="361" t="s">
        <v>12</v>
      </c>
      <c r="E1426" s="361" t="s">
        <v>24</v>
      </c>
      <c r="F1426" s="362" t="s">
        <v>1268</v>
      </c>
      <c r="G1426" s="359">
        <v>4.37</v>
      </c>
      <c r="H1426" s="363">
        <f t="shared" si="135"/>
        <v>4.1514999999999995</v>
      </c>
    </row>
    <row r="1427" spans="2:8" ht="25.5">
      <c r="B1427" s="358" t="s">
        <v>1332</v>
      </c>
      <c r="C1427" s="360" t="s">
        <v>1333</v>
      </c>
      <c r="D1427" s="361" t="s">
        <v>12</v>
      </c>
      <c r="E1427" s="361" t="s">
        <v>1128</v>
      </c>
      <c r="F1427" s="362" t="s">
        <v>1363</v>
      </c>
      <c r="G1427" s="359">
        <v>26.05</v>
      </c>
      <c r="H1427" s="363">
        <f t="shared" si="135"/>
        <v>5.2100000000000009</v>
      </c>
    </row>
    <row r="1428" spans="2:8" ht="25.5">
      <c r="B1428" s="358" t="s">
        <v>1337</v>
      </c>
      <c r="C1428" s="360" t="s">
        <v>1338</v>
      </c>
      <c r="D1428" s="361" t="s">
        <v>12</v>
      </c>
      <c r="E1428" s="361" t="s">
        <v>1128</v>
      </c>
      <c r="F1428" s="362" t="s">
        <v>1730</v>
      </c>
      <c r="G1428" s="359">
        <v>26.2</v>
      </c>
      <c r="H1428" s="363">
        <f t="shared" si="135"/>
        <v>24.103999999999999</v>
      </c>
    </row>
    <row r="1429" spans="2:8" ht="25.5">
      <c r="B1429" s="358" t="s">
        <v>1285</v>
      </c>
      <c r="C1429" s="360" t="s">
        <v>1286</v>
      </c>
      <c r="D1429" s="361" t="s">
        <v>12</v>
      </c>
      <c r="E1429" s="361" t="s">
        <v>1128</v>
      </c>
      <c r="F1429" s="362" t="s">
        <v>1730</v>
      </c>
      <c r="G1429" s="359">
        <v>19.39</v>
      </c>
      <c r="H1429" s="363">
        <f t="shared" si="135"/>
        <v>17.838800000000003</v>
      </c>
    </row>
    <row r="1430" spans="2:8" ht="66.75" customHeight="1">
      <c r="B1430" s="358" t="s">
        <v>1734</v>
      </c>
      <c r="C1430" s="360" t="s">
        <v>2133</v>
      </c>
      <c r="D1430" s="361" t="s">
        <v>12</v>
      </c>
      <c r="E1430" s="361" t="s">
        <v>24</v>
      </c>
      <c r="F1430" s="362" t="s">
        <v>1589</v>
      </c>
      <c r="G1430" s="359">
        <v>225.72</v>
      </c>
      <c r="H1430" s="363">
        <f t="shared" si="135"/>
        <v>31.600800000000003</v>
      </c>
    </row>
    <row r="1431" spans="2:8" ht="51">
      <c r="B1431" s="358" t="s">
        <v>1287</v>
      </c>
      <c r="C1431" s="360" t="s">
        <v>1288</v>
      </c>
      <c r="D1431" s="361" t="s">
        <v>12</v>
      </c>
      <c r="E1431" s="361" t="s">
        <v>75</v>
      </c>
      <c r="F1431" s="362" t="s">
        <v>1579</v>
      </c>
      <c r="G1431" s="359">
        <v>494.98</v>
      </c>
      <c r="H1431" s="363">
        <f t="shared" si="135"/>
        <v>18.809239999999999</v>
      </c>
    </row>
    <row r="1432" spans="2:8" ht="51">
      <c r="B1432" s="358" t="s">
        <v>1731</v>
      </c>
      <c r="C1432" s="360" t="s">
        <v>1732</v>
      </c>
      <c r="D1432" s="361" t="s">
        <v>12</v>
      </c>
      <c r="E1432" s="361" t="s">
        <v>75</v>
      </c>
      <c r="F1432" s="362" t="s">
        <v>1300</v>
      </c>
      <c r="G1432" s="359">
        <v>525.15</v>
      </c>
      <c r="H1432" s="363">
        <f t="shared" si="135"/>
        <v>11.553299999999998</v>
      </c>
    </row>
    <row r="1433" spans="2:8" ht="51">
      <c r="B1433" s="358" t="s">
        <v>1396</v>
      </c>
      <c r="C1433" s="360" t="s">
        <v>1397</v>
      </c>
      <c r="D1433" s="361" t="s">
        <v>12</v>
      </c>
      <c r="E1433" s="361" t="s">
        <v>75</v>
      </c>
      <c r="F1433" s="362" t="s">
        <v>1633</v>
      </c>
      <c r="G1433" s="359">
        <v>550.86</v>
      </c>
      <c r="H1433" s="363">
        <f t="shared" si="135"/>
        <v>25.339559999999999</v>
      </c>
    </row>
    <row r="1434" spans="2:8">
      <c r="B1434" s="699" t="s">
        <v>1231</v>
      </c>
      <c r="C1434" s="700"/>
      <c r="D1434" s="700"/>
      <c r="E1434" s="700"/>
      <c r="F1434" s="700"/>
      <c r="G1434" s="701"/>
      <c r="H1434" s="364">
        <f>SUM(H1422:H1433)</f>
        <v>297.34257999999994</v>
      </c>
    </row>
    <row r="1435" spans="2:8">
      <c r="B1435" s="711"/>
      <c r="C1435" s="712"/>
      <c r="D1435" s="712"/>
      <c r="E1435" s="712"/>
      <c r="F1435" s="712"/>
      <c r="G1435" s="712"/>
      <c r="H1435" s="713"/>
    </row>
    <row r="1436" spans="2:8" ht="51">
      <c r="B1436" s="367" t="s">
        <v>2134</v>
      </c>
      <c r="C1436" s="368" t="s">
        <v>951</v>
      </c>
      <c r="D1436" s="369" t="s">
        <v>12</v>
      </c>
      <c r="E1436" s="369" t="s">
        <v>37</v>
      </c>
      <c r="F1436" s="370"/>
      <c r="G1436" s="356"/>
      <c r="H1436" s="371"/>
    </row>
    <row r="1437" spans="2:8">
      <c r="B1437" s="358">
        <v>32</v>
      </c>
      <c r="C1437" s="360" t="s">
        <v>1726</v>
      </c>
      <c r="D1437" s="361" t="s">
        <v>401</v>
      </c>
      <c r="E1437" s="361" t="s">
        <v>112</v>
      </c>
      <c r="F1437" s="362">
        <v>22.81</v>
      </c>
      <c r="G1437" s="359">
        <v>10.35</v>
      </c>
      <c r="H1437" s="363">
        <f>F1437*G1437</f>
        <v>236.08349999999999</v>
      </c>
    </row>
    <row r="1438" spans="2:8" ht="25.5">
      <c r="B1438" s="358">
        <v>345</v>
      </c>
      <c r="C1438" s="360" t="s">
        <v>2132</v>
      </c>
      <c r="D1438" s="361" t="s">
        <v>401</v>
      </c>
      <c r="E1438" s="361" t="s">
        <v>112</v>
      </c>
      <c r="F1438" s="362" t="s">
        <v>1733</v>
      </c>
      <c r="G1438" s="359">
        <v>32.26</v>
      </c>
      <c r="H1438" s="363">
        <f t="shared" ref="H1438:H1448" si="136">F1438*G1438</f>
        <v>22.065840000000001</v>
      </c>
    </row>
    <row r="1439" spans="2:8" ht="89.25">
      <c r="B1439" s="358" t="s">
        <v>2822</v>
      </c>
      <c r="C1439" s="360" t="s">
        <v>1727</v>
      </c>
      <c r="D1439" s="361" t="s">
        <v>12</v>
      </c>
      <c r="E1439" s="361" t="s">
        <v>24</v>
      </c>
      <c r="F1439" s="362">
        <v>7.02</v>
      </c>
      <c r="G1439" s="359">
        <v>76.430000000000007</v>
      </c>
      <c r="H1439" s="363">
        <f t="shared" si="136"/>
        <v>536.53859999999997</v>
      </c>
    </row>
    <row r="1440" spans="2:8" ht="114.75">
      <c r="B1440" s="358" t="s">
        <v>1728</v>
      </c>
      <c r="C1440" s="360" t="s">
        <v>1729</v>
      </c>
      <c r="D1440" s="361" t="s">
        <v>12</v>
      </c>
      <c r="E1440" s="361" t="s">
        <v>24</v>
      </c>
      <c r="F1440" s="362">
        <v>6.5</v>
      </c>
      <c r="G1440" s="359">
        <v>29.55</v>
      </c>
      <c r="H1440" s="363">
        <f t="shared" si="136"/>
        <v>192.07500000000002</v>
      </c>
    </row>
    <row r="1441" spans="2:8" ht="63.75">
      <c r="B1441" s="358" t="s">
        <v>436</v>
      </c>
      <c r="C1441" s="360" t="s">
        <v>437</v>
      </c>
      <c r="D1441" s="361" t="s">
        <v>12</v>
      </c>
      <c r="E1441" s="361" t="s">
        <v>24</v>
      </c>
      <c r="F1441" s="362">
        <v>6.5</v>
      </c>
      <c r="G1441" s="359">
        <v>4.37</v>
      </c>
      <c r="H1441" s="363">
        <f t="shared" si="136"/>
        <v>28.405000000000001</v>
      </c>
    </row>
    <row r="1442" spans="2:8" ht="25.5">
      <c r="B1442" s="358" t="s">
        <v>1332</v>
      </c>
      <c r="C1442" s="360" t="s">
        <v>1333</v>
      </c>
      <c r="D1442" s="361" t="s">
        <v>12</v>
      </c>
      <c r="E1442" s="361" t="s">
        <v>1128</v>
      </c>
      <c r="F1442" s="362" t="s">
        <v>1364</v>
      </c>
      <c r="G1442" s="359">
        <v>26.05</v>
      </c>
      <c r="H1442" s="363">
        <f t="shared" si="136"/>
        <v>23.445</v>
      </c>
    </row>
    <row r="1443" spans="2:8" ht="25.5">
      <c r="B1443" s="358" t="s">
        <v>1337</v>
      </c>
      <c r="C1443" s="360" t="s">
        <v>1338</v>
      </c>
      <c r="D1443" s="361" t="s">
        <v>12</v>
      </c>
      <c r="E1443" s="361" t="s">
        <v>1128</v>
      </c>
      <c r="F1443" s="362">
        <v>5.62</v>
      </c>
      <c r="G1443" s="359">
        <v>26.2</v>
      </c>
      <c r="H1443" s="363">
        <f t="shared" si="136"/>
        <v>147.244</v>
      </c>
    </row>
    <row r="1444" spans="2:8" ht="25.5">
      <c r="B1444" s="358" t="s">
        <v>1285</v>
      </c>
      <c r="C1444" s="360" t="s">
        <v>1286</v>
      </c>
      <c r="D1444" s="361" t="s">
        <v>12</v>
      </c>
      <c r="E1444" s="361" t="s">
        <v>1128</v>
      </c>
      <c r="F1444" s="362">
        <v>5.62</v>
      </c>
      <c r="G1444" s="359">
        <v>19.39</v>
      </c>
      <c r="H1444" s="363">
        <f t="shared" si="136"/>
        <v>108.9718</v>
      </c>
    </row>
    <row r="1445" spans="2:8" ht="66.75" customHeight="1">
      <c r="B1445" s="358" t="s">
        <v>1734</v>
      </c>
      <c r="C1445" s="360" t="s">
        <v>2133</v>
      </c>
      <c r="D1445" s="361" t="s">
        <v>12</v>
      </c>
      <c r="E1445" s="361" t="s">
        <v>24</v>
      </c>
      <c r="F1445" s="362" t="s">
        <v>1735</v>
      </c>
      <c r="G1445" s="359">
        <v>225.72</v>
      </c>
      <c r="H1445" s="363">
        <f t="shared" si="136"/>
        <v>106.08839999999999</v>
      </c>
    </row>
    <row r="1446" spans="2:8" ht="51">
      <c r="B1446" s="358" t="s">
        <v>1287</v>
      </c>
      <c r="C1446" s="360" t="s">
        <v>1288</v>
      </c>
      <c r="D1446" s="361" t="s">
        <v>12</v>
      </c>
      <c r="E1446" s="361" t="s">
        <v>75</v>
      </c>
      <c r="F1446" s="362" t="s">
        <v>1736</v>
      </c>
      <c r="G1446" s="359">
        <v>494.98</v>
      </c>
      <c r="H1446" s="363">
        <f t="shared" si="136"/>
        <v>107.90564000000001</v>
      </c>
    </row>
    <row r="1447" spans="2:8" ht="51">
      <c r="B1447" s="358" t="s">
        <v>1731</v>
      </c>
      <c r="C1447" s="360" t="s">
        <v>1732</v>
      </c>
      <c r="D1447" s="361" t="s">
        <v>12</v>
      </c>
      <c r="E1447" s="361" t="s">
        <v>75</v>
      </c>
      <c r="F1447" s="362" t="s">
        <v>1737</v>
      </c>
      <c r="G1447" s="359">
        <v>525.15</v>
      </c>
      <c r="H1447" s="363">
        <f t="shared" si="136"/>
        <v>88.750349999999997</v>
      </c>
    </row>
    <row r="1448" spans="2:8" ht="51">
      <c r="B1448" s="358" t="s">
        <v>1396</v>
      </c>
      <c r="C1448" s="360" t="s">
        <v>1397</v>
      </c>
      <c r="D1448" s="361" t="s">
        <v>12</v>
      </c>
      <c r="E1448" s="361" t="s">
        <v>75</v>
      </c>
      <c r="F1448" s="362" t="s">
        <v>1738</v>
      </c>
      <c r="G1448" s="359">
        <v>550.86</v>
      </c>
      <c r="H1448" s="363">
        <f t="shared" si="136"/>
        <v>154.681488</v>
      </c>
    </row>
    <row r="1449" spans="2:8">
      <c r="B1449" s="699" t="s">
        <v>1231</v>
      </c>
      <c r="C1449" s="700"/>
      <c r="D1449" s="700"/>
      <c r="E1449" s="700"/>
      <c r="F1449" s="700"/>
      <c r="G1449" s="701"/>
      <c r="H1449" s="364">
        <f>SUM(H1437:H1448)</f>
        <v>1752.2546179999999</v>
      </c>
    </row>
    <row r="1450" spans="2:8">
      <c r="B1450" s="702"/>
      <c r="C1450" s="703"/>
      <c r="D1450" s="703"/>
      <c r="E1450" s="703"/>
      <c r="F1450" s="703"/>
      <c r="G1450" s="703"/>
      <c r="H1450" s="704"/>
    </row>
    <row r="1451" spans="2:8" ht="51">
      <c r="B1451" s="367" t="s">
        <v>2135</v>
      </c>
      <c r="C1451" s="368" t="s">
        <v>960</v>
      </c>
      <c r="D1451" s="369" t="s">
        <v>12</v>
      </c>
      <c r="E1451" s="369" t="s">
        <v>15</v>
      </c>
      <c r="F1451" s="370"/>
      <c r="G1451" s="356"/>
      <c r="H1451" s="371"/>
    </row>
    <row r="1452" spans="2:8">
      <c r="B1452" s="358">
        <v>88247</v>
      </c>
      <c r="C1452" s="360" t="s">
        <v>1256</v>
      </c>
      <c r="D1452" s="361" t="s">
        <v>1228</v>
      </c>
      <c r="E1452" s="361" t="s">
        <v>1128</v>
      </c>
      <c r="F1452" s="362" t="s">
        <v>1686</v>
      </c>
      <c r="G1452" s="359">
        <v>20.43</v>
      </c>
      <c r="H1452" s="363">
        <f>F1452*G1452</f>
        <v>9.1935000000000002</v>
      </c>
    </row>
    <row r="1453" spans="2:8">
      <c r="B1453" s="358">
        <v>88264</v>
      </c>
      <c r="C1453" s="360" t="s">
        <v>1257</v>
      </c>
      <c r="D1453" s="361" t="s">
        <v>1228</v>
      </c>
      <c r="E1453" s="361" t="s">
        <v>1128</v>
      </c>
      <c r="F1453" s="362" t="s">
        <v>1686</v>
      </c>
      <c r="G1453" s="359">
        <v>26.47</v>
      </c>
      <c r="H1453" s="363">
        <f t="shared" ref="H1453:H1463" si="137">F1453*G1453</f>
        <v>11.9115</v>
      </c>
    </row>
    <row r="1454" spans="2:8" ht="38.25">
      <c r="B1454" s="358" t="s">
        <v>1662</v>
      </c>
      <c r="C1454" s="360" t="s">
        <v>1663</v>
      </c>
      <c r="D1454" s="361" t="s">
        <v>401</v>
      </c>
      <c r="E1454" s="361" t="s">
        <v>15</v>
      </c>
      <c r="F1454" s="362" t="s">
        <v>1466</v>
      </c>
      <c r="G1454" s="359">
        <f>3.91*1.2173</f>
        <v>4.7596430000000005</v>
      </c>
      <c r="H1454" s="363">
        <f t="shared" si="137"/>
        <v>3.8077144000000005</v>
      </c>
    </row>
    <row r="1455" spans="2:8">
      <c r="B1455" s="358">
        <v>39997</v>
      </c>
      <c r="C1455" s="360" t="s">
        <v>2103</v>
      </c>
      <c r="D1455" s="361" t="s">
        <v>401</v>
      </c>
      <c r="E1455" s="361" t="s">
        <v>37</v>
      </c>
      <c r="F1455" s="362">
        <v>4.0033333329999996</v>
      </c>
      <c r="G1455" s="359">
        <v>0.34</v>
      </c>
      <c r="H1455" s="363">
        <f t="shared" si="137"/>
        <v>1.36113333322</v>
      </c>
    </row>
    <row r="1456" spans="2:8">
      <c r="B1456" s="358" t="s">
        <v>2818</v>
      </c>
      <c r="C1456" s="360" t="s">
        <v>2104</v>
      </c>
      <c r="D1456" s="361" t="s">
        <v>401</v>
      </c>
      <c r="E1456" s="361" t="s">
        <v>37</v>
      </c>
      <c r="F1456" s="362">
        <v>4.0033333329999996</v>
      </c>
      <c r="G1456" s="359">
        <v>0.41</v>
      </c>
      <c r="H1456" s="363">
        <f t="shared" si="137"/>
        <v>1.6413666665299997</v>
      </c>
    </row>
    <row r="1457" spans="2:8" ht="29.25" customHeight="1">
      <c r="B1457" s="358" t="s">
        <v>2136</v>
      </c>
      <c r="C1457" s="360" t="s">
        <v>1677</v>
      </c>
      <c r="D1457" s="361" t="s">
        <v>401</v>
      </c>
      <c r="E1457" s="361" t="s">
        <v>37</v>
      </c>
      <c r="F1457" s="362" t="s">
        <v>1432</v>
      </c>
      <c r="G1457" s="359">
        <v>6.5</v>
      </c>
      <c r="H1457" s="363">
        <f t="shared" si="137"/>
        <v>4.3550000000000004</v>
      </c>
    </row>
    <row r="1458" spans="2:8" ht="38.25">
      <c r="B1458" s="358" t="s">
        <v>2115</v>
      </c>
      <c r="C1458" s="360" t="s">
        <v>2137</v>
      </c>
      <c r="D1458" s="361" t="s">
        <v>401</v>
      </c>
      <c r="E1458" s="361" t="s">
        <v>15</v>
      </c>
      <c r="F1458" s="362">
        <v>0.19142997</v>
      </c>
      <c r="G1458" s="359">
        <v>46.1</v>
      </c>
      <c r="H1458" s="363">
        <f t="shared" si="137"/>
        <v>8.8249216170000011</v>
      </c>
    </row>
    <row r="1459" spans="2:8" ht="25.5">
      <c r="B1459" s="358" t="s">
        <v>1740</v>
      </c>
      <c r="C1459" s="360" t="s">
        <v>1741</v>
      </c>
      <c r="D1459" s="361" t="s">
        <v>401</v>
      </c>
      <c r="E1459" s="361" t="s">
        <v>15</v>
      </c>
      <c r="F1459" s="362">
        <v>1.05</v>
      </c>
      <c r="G1459" s="359">
        <f>10.82*1.2173</f>
        <v>13.171186000000001</v>
      </c>
      <c r="H1459" s="363">
        <f t="shared" si="137"/>
        <v>13.829745300000001</v>
      </c>
    </row>
    <row r="1460" spans="2:8" ht="32.25" customHeight="1">
      <c r="B1460" s="358" t="s">
        <v>1681</v>
      </c>
      <c r="C1460" s="360" t="s">
        <v>1682</v>
      </c>
      <c r="D1460" s="361" t="s">
        <v>401</v>
      </c>
      <c r="E1460" s="361" t="s">
        <v>37</v>
      </c>
      <c r="F1460" s="362" t="s">
        <v>1432</v>
      </c>
      <c r="G1460" s="359">
        <f>3.53*1.2173</f>
        <v>4.2970689999999996</v>
      </c>
      <c r="H1460" s="363">
        <f t="shared" si="137"/>
        <v>2.8790362300000001</v>
      </c>
    </row>
    <row r="1461" spans="2:8">
      <c r="B1461" s="358" t="s">
        <v>2109</v>
      </c>
      <c r="C1461" s="360" t="s">
        <v>1666</v>
      </c>
      <c r="D1461" s="361" t="s">
        <v>401</v>
      </c>
      <c r="E1461" s="361" t="s">
        <v>37</v>
      </c>
      <c r="F1461" s="362">
        <v>2.67</v>
      </c>
      <c r="G1461" s="359">
        <v>0.25</v>
      </c>
      <c r="H1461" s="363">
        <f t="shared" si="137"/>
        <v>0.66749999999999998</v>
      </c>
    </row>
    <row r="1462" spans="2:8">
      <c r="B1462" s="358" t="s">
        <v>1667</v>
      </c>
      <c r="C1462" s="360" t="s">
        <v>1668</v>
      </c>
      <c r="D1462" s="361" t="s">
        <v>401</v>
      </c>
      <c r="E1462" s="361" t="s">
        <v>37</v>
      </c>
      <c r="F1462" s="362" t="s">
        <v>1669</v>
      </c>
      <c r="G1462" s="359">
        <f>3.72*1.2173</f>
        <v>4.5283560000000005</v>
      </c>
      <c r="H1462" s="363">
        <f t="shared" si="137"/>
        <v>3.0189040015094522</v>
      </c>
    </row>
    <row r="1463" spans="2:8" ht="38.25">
      <c r="B1463" s="358" t="s">
        <v>1683</v>
      </c>
      <c r="C1463" s="360" t="s">
        <v>1684</v>
      </c>
      <c r="D1463" s="361" t="s">
        <v>12</v>
      </c>
      <c r="E1463" s="361" t="s">
        <v>37</v>
      </c>
      <c r="F1463" s="362" t="s">
        <v>1432</v>
      </c>
      <c r="G1463" s="359">
        <f>6.64*1.2173</f>
        <v>8.0828720000000001</v>
      </c>
      <c r="H1463" s="363">
        <f t="shared" si="137"/>
        <v>5.4155242400000008</v>
      </c>
    </row>
    <row r="1464" spans="2:8">
      <c r="B1464" s="699" t="s">
        <v>1231</v>
      </c>
      <c r="C1464" s="700"/>
      <c r="D1464" s="700"/>
      <c r="E1464" s="700"/>
      <c r="F1464" s="700"/>
      <c r="G1464" s="701"/>
      <c r="H1464" s="364">
        <f>SUM(H1452:H1463)</f>
        <v>66.905845788259455</v>
      </c>
    </row>
    <row r="1465" spans="2:8">
      <c r="B1465" s="772"/>
      <c r="C1465" s="773"/>
      <c r="D1465" s="773"/>
      <c r="E1465" s="773"/>
      <c r="F1465" s="773"/>
      <c r="G1465" s="773"/>
      <c r="H1465" s="774"/>
    </row>
    <row r="1466" spans="2:8">
      <c r="B1466" s="702"/>
      <c r="C1466" s="703"/>
      <c r="D1466" s="703"/>
      <c r="E1466" s="703"/>
      <c r="F1466" s="703"/>
      <c r="G1466" s="703"/>
      <c r="H1466" s="704"/>
    </row>
    <row r="1467" spans="2:8" ht="63.75">
      <c r="B1467" s="367" t="s">
        <v>2138</v>
      </c>
      <c r="C1467" s="368" t="s">
        <v>961</v>
      </c>
      <c r="D1467" s="369" t="s">
        <v>12</v>
      </c>
      <c r="E1467" s="369" t="s">
        <v>15</v>
      </c>
      <c r="F1467" s="370"/>
      <c r="G1467" s="356"/>
      <c r="H1467" s="371"/>
    </row>
    <row r="1468" spans="2:8">
      <c r="B1468" s="358">
        <v>88247</v>
      </c>
      <c r="C1468" s="360" t="s">
        <v>1256</v>
      </c>
      <c r="D1468" s="361" t="s">
        <v>1228</v>
      </c>
      <c r="E1468" s="361" t="s">
        <v>1128</v>
      </c>
      <c r="F1468" s="362" t="s">
        <v>1742</v>
      </c>
      <c r="G1468" s="359">
        <v>20.43</v>
      </c>
      <c r="H1468" s="363">
        <f>F1468*G1468</f>
        <v>13.4838</v>
      </c>
    </row>
    <row r="1469" spans="2:8">
      <c r="B1469" s="358">
        <v>88264</v>
      </c>
      <c r="C1469" s="360" t="s">
        <v>1257</v>
      </c>
      <c r="D1469" s="361" t="s">
        <v>1228</v>
      </c>
      <c r="E1469" s="361" t="s">
        <v>1128</v>
      </c>
      <c r="F1469" s="362" t="s">
        <v>1742</v>
      </c>
      <c r="G1469" s="359">
        <v>26.47</v>
      </c>
      <c r="H1469" s="363">
        <f t="shared" ref="H1469:H1479" si="138">F1469*G1469</f>
        <v>17.470199999999998</v>
      </c>
    </row>
    <row r="1470" spans="2:8" ht="38.25">
      <c r="B1470" s="358" t="s">
        <v>1662</v>
      </c>
      <c r="C1470" s="360" t="s">
        <v>1663</v>
      </c>
      <c r="D1470" s="361" t="s">
        <v>401</v>
      </c>
      <c r="E1470" s="361" t="s">
        <v>15</v>
      </c>
      <c r="F1470" s="362">
        <v>1.6</v>
      </c>
      <c r="G1470" s="359">
        <f>3.91*1.2173</f>
        <v>4.7596430000000005</v>
      </c>
      <c r="H1470" s="363">
        <f t="shared" si="138"/>
        <v>7.615428800000001</v>
      </c>
    </row>
    <row r="1471" spans="2:8">
      <c r="B1471" s="358">
        <v>39997</v>
      </c>
      <c r="C1471" s="360" t="s">
        <v>2103</v>
      </c>
      <c r="D1471" s="361" t="s">
        <v>401</v>
      </c>
      <c r="E1471" s="361" t="s">
        <v>37</v>
      </c>
      <c r="F1471" s="362">
        <v>5.3366666670000003</v>
      </c>
      <c r="G1471" s="359">
        <v>0.34</v>
      </c>
      <c r="H1471" s="363">
        <f t="shared" si="138"/>
        <v>1.8144666667800002</v>
      </c>
    </row>
    <row r="1472" spans="2:8">
      <c r="B1472" s="358" t="s">
        <v>2818</v>
      </c>
      <c r="C1472" s="360" t="s">
        <v>2104</v>
      </c>
      <c r="D1472" s="361" t="s">
        <v>401</v>
      </c>
      <c r="E1472" s="361" t="s">
        <v>37</v>
      </c>
      <c r="F1472" s="362">
        <v>5.34</v>
      </c>
      <c r="G1472" s="359">
        <v>0.41</v>
      </c>
      <c r="H1472" s="363">
        <f t="shared" si="138"/>
        <v>2.1894</v>
      </c>
    </row>
    <row r="1473" spans="2:8" ht="38.25">
      <c r="B1473" s="358" t="s">
        <v>2115</v>
      </c>
      <c r="C1473" s="360" t="s">
        <v>2137</v>
      </c>
      <c r="D1473" s="361" t="s">
        <v>401</v>
      </c>
      <c r="E1473" s="361" t="s">
        <v>15</v>
      </c>
      <c r="F1473" s="362">
        <v>0.218636626</v>
      </c>
      <c r="G1473" s="359">
        <v>46.1</v>
      </c>
      <c r="H1473" s="363">
        <f t="shared" si="138"/>
        <v>10.079148458600001</v>
      </c>
    </row>
    <row r="1474" spans="2:8" ht="38.25">
      <c r="B1474" s="358" t="s">
        <v>1743</v>
      </c>
      <c r="C1474" s="360" t="s">
        <v>1744</v>
      </c>
      <c r="D1474" s="361" t="s">
        <v>401</v>
      </c>
      <c r="E1474" s="361" t="s">
        <v>15</v>
      </c>
      <c r="F1474" s="362">
        <v>1.2</v>
      </c>
      <c r="G1474" s="359">
        <f>11.94*1.2173</f>
        <v>14.534561999999999</v>
      </c>
      <c r="H1474" s="363">
        <f t="shared" si="138"/>
        <v>17.441474399999997</v>
      </c>
    </row>
    <row r="1475" spans="2:8" ht="25.5">
      <c r="B1475" s="358" t="s">
        <v>1681</v>
      </c>
      <c r="C1475" s="360" t="s">
        <v>1682</v>
      </c>
      <c r="D1475" s="361" t="s">
        <v>401</v>
      </c>
      <c r="E1475" s="361" t="s">
        <v>37</v>
      </c>
      <c r="F1475" s="362">
        <v>1.3333333329999999</v>
      </c>
      <c r="G1475" s="359">
        <f>3.53*1.2173</f>
        <v>4.2970689999999996</v>
      </c>
      <c r="H1475" s="363">
        <f t="shared" si="138"/>
        <v>5.729425331900976</v>
      </c>
    </row>
    <row r="1476" spans="2:8">
      <c r="B1476" s="358" t="s">
        <v>2109</v>
      </c>
      <c r="C1476" s="360" t="s">
        <v>1666</v>
      </c>
      <c r="D1476" s="361" t="s">
        <v>401</v>
      </c>
      <c r="E1476" s="361" t="s">
        <v>37</v>
      </c>
      <c r="F1476" s="362">
        <v>2.67</v>
      </c>
      <c r="G1476" s="359">
        <v>0.25</v>
      </c>
      <c r="H1476" s="363">
        <f t="shared" si="138"/>
        <v>0.66749999999999998</v>
      </c>
    </row>
    <row r="1477" spans="2:8">
      <c r="B1477" s="358" t="s">
        <v>1745</v>
      </c>
      <c r="C1477" s="360" t="s">
        <v>1746</v>
      </c>
      <c r="D1477" s="361" t="s">
        <v>401</v>
      </c>
      <c r="E1477" s="361" t="s">
        <v>37</v>
      </c>
      <c r="F1477" s="362" t="s">
        <v>1432</v>
      </c>
      <c r="G1477" s="359">
        <f>5.3*1.2173</f>
        <v>6.4516900000000001</v>
      </c>
      <c r="H1477" s="363">
        <f t="shared" si="138"/>
        <v>4.3226323000000004</v>
      </c>
    </row>
    <row r="1478" spans="2:8" ht="25.5">
      <c r="B1478" s="358" t="s">
        <v>1747</v>
      </c>
      <c r="C1478" s="360" t="s">
        <v>1748</v>
      </c>
      <c r="D1478" s="361" t="s">
        <v>401</v>
      </c>
      <c r="E1478" s="361" t="s">
        <v>37</v>
      </c>
      <c r="F1478" s="362" t="s">
        <v>1432</v>
      </c>
      <c r="G1478" s="359">
        <f>2.13*1.2173</f>
        <v>2.5928490000000002</v>
      </c>
      <c r="H1478" s="363">
        <f t="shared" si="138"/>
        <v>1.7372088300000001</v>
      </c>
    </row>
    <row r="1479" spans="2:8" ht="38.25">
      <c r="B1479" s="358" t="s">
        <v>1683</v>
      </c>
      <c r="C1479" s="360" t="s">
        <v>1684</v>
      </c>
      <c r="D1479" s="361" t="s">
        <v>12</v>
      </c>
      <c r="E1479" s="361" t="s">
        <v>37</v>
      </c>
      <c r="F1479" s="362">
        <v>1.3333333329999999</v>
      </c>
      <c r="G1479" s="359">
        <f>6.64*1.2173</f>
        <v>8.0828720000000001</v>
      </c>
      <c r="H1479" s="363">
        <f t="shared" si="138"/>
        <v>10.777162663972375</v>
      </c>
    </row>
    <row r="1480" spans="2:8">
      <c r="B1480" s="699" t="s">
        <v>1231</v>
      </c>
      <c r="C1480" s="700"/>
      <c r="D1480" s="700"/>
      <c r="E1480" s="700"/>
      <c r="F1480" s="700"/>
      <c r="G1480" s="701"/>
      <c r="H1480" s="364">
        <f>SUM(H1468:H1479)</f>
        <v>93.327847451253348</v>
      </c>
    </row>
    <row r="1481" spans="2:8">
      <c r="B1481" s="711"/>
      <c r="C1481" s="712"/>
      <c r="D1481" s="712"/>
      <c r="E1481" s="712"/>
      <c r="F1481" s="712"/>
      <c r="G1481" s="712"/>
      <c r="H1481" s="713"/>
    </row>
    <row r="1482" spans="2:8" ht="25.5">
      <c r="B1482" s="367" t="s">
        <v>2139</v>
      </c>
      <c r="C1482" s="368" t="s">
        <v>977</v>
      </c>
      <c r="D1482" s="369" t="s">
        <v>12</v>
      </c>
      <c r="E1482" s="369" t="s">
        <v>15</v>
      </c>
      <c r="F1482" s="370"/>
      <c r="G1482" s="356"/>
      <c r="H1482" s="371"/>
    </row>
    <row r="1483" spans="2:8">
      <c r="B1483" s="358">
        <v>88247</v>
      </c>
      <c r="C1483" s="360" t="s">
        <v>1256</v>
      </c>
      <c r="D1483" s="361" t="s">
        <v>1228</v>
      </c>
      <c r="E1483" s="361" t="s">
        <v>1128</v>
      </c>
      <c r="F1483" s="362" t="s">
        <v>1749</v>
      </c>
      <c r="G1483" s="359">
        <v>20.43</v>
      </c>
      <c r="H1483" s="363">
        <f>F1483*G1483</f>
        <v>4.2903000000000002</v>
      </c>
    </row>
    <row r="1484" spans="2:8">
      <c r="B1484" s="358">
        <v>88264</v>
      </c>
      <c r="C1484" s="360" t="s">
        <v>1257</v>
      </c>
      <c r="D1484" s="361" t="s">
        <v>1228</v>
      </c>
      <c r="E1484" s="361" t="s">
        <v>1128</v>
      </c>
      <c r="F1484" s="362" t="s">
        <v>1749</v>
      </c>
      <c r="G1484" s="359">
        <v>26.47</v>
      </c>
      <c r="H1484" s="363">
        <f t="shared" ref="H1484:H1485" si="139">F1484*G1484</f>
        <v>5.5587</v>
      </c>
    </row>
    <row r="1485" spans="2:8" ht="25.5">
      <c r="B1485" s="358">
        <v>11914</v>
      </c>
      <c r="C1485" s="360" t="s">
        <v>1750</v>
      </c>
      <c r="D1485" s="361" t="s">
        <v>401</v>
      </c>
      <c r="E1485" s="361" t="s">
        <v>15</v>
      </c>
      <c r="F1485" s="362">
        <v>1.02</v>
      </c>
      <c r="G1485" s="359">
        <v>60.8</v>
      </c>
      <c r="H1485" s="363">
        <f t="shared" si="139"/>
        <v>62.015999999999998</v>
      </c>
    </row>
    <row r="1486" spans="2:8">
      <c r="B1486" s="699" t="s">
        <v>1231</v>
      </c>
      <c r="C1486" s="700"/>
      <c r="D1486" s="700"/>
      <c r="E1486" s="700"/>
      <c r="F1486" s="700"/>
      <c r="G1486" s="701"/>
      <c r="H1486" s="364">
        <f>SUM(H1483:H1485)</f>
        <v>71.864999999999995</v>
      </c>
    </row>
    <row r="1487" spans="2:8">
      <c r="B1487" s="711"/>
      <c r="C1487" s="712"/>
      <c r="D1487" s="712"/>
      <c r="E1487" s="712"/>
      <c r="F1487" s="712"/>
      <c r="G1487" s="712"/>
      <c r="H1487" s="713"/>
    </row>
    <row r="1488" spans="2:8" ht="25.5">
      <c r="B1488" s="367" t="s">
        <v>2140</v>
      </c>
      <c r="C1488" s="368" t="s">
        <v>990</v>
      </c>
      <c r="D1488" s="369" t="s">
        <v>12</v>
      </c>
      <c r="E1488" s="369" t="s">
        <v>37</v>
      </c>
      <c r="F1488" s="370"/>
      <c r="G1488" s="356"/>
      <c r="H1488" s="371"/>
    </row>
    <row r="1489" spans="2:8" ht="25.5">
      <c r="B1489" s="358" t="s">
        <v>1751</v>
      </c>
      <c r="C1489" s="360" t="s">
        <v>990</v>
      </c>
      <c r="D1489" s="361" t="s">
        <v>12</v>
      </c>
      <c r="E1489" s="361" t="s">
        <v>37</v>
      </c>
      <c r="F1489" s="362">
        <v>1</v>
      </c>
      <c r="G1489" s="359">
        <f>717.24*1.2173</f>
        <v>873.09625200000005</v>
      </c>
      <c r="H1489" s="363">
        <f>F1489*G1489</f>
        <v>873.09625200000005</v>
      </c>
    </row>
    <row r="1490" spans="2:8" ht="51">
      <c r="B1490" s="358">
        <v>11253</v>
      </c>
      <c r="C1490" s="360" t="s">
        <v>2141</v>
      </c>
      <c r="D1490" s="361" t="s">
        <v>12</v>
      </c>
      <c r="E1490" s="361" t="s">
        <v>37</v>
      </c>
      <c r="F1490" s="362">
        <v>1</v>
      </c>
      <c r="G1490" s="359">
        <v>301.5</v>
      </c>
      <c r="H1490" s="363">
        <f>F1490*G1490</f>
        <v>301.5</v>
      </c>
    </row>
    <row r="1491" spans="2:8">
      <c r="B1491" s="699" t="s">
        <v>1231</v>
      </c>
      <c r="C1491" s="700"/>
      <c r="D1491" s="700"/>
      <c r="E1491" s="700"/>
      <c r="F1491" s="700"/>
      <c r="G1491" s="701"/>
      <c r="H1491" s="364">
        <f>SUM(H1489:H1490)</f>
        <v>1174.596252</v>
      </c>
    </row>
    <row r="1492" spans="2:8">
      <c r="B1492" s="705"/>
      <c r="C1492" s="706"/>
      <c r="D1492" s="706"/>
      <c r="E1492" s="706"/>
      <c r="F1492" s="706"/>
      <c r="G1492" s="706"/>
      <c r="H1492" s="707"/>
    </row>
    <row r="1493" spans="2:8" ht="25.5">
      <c r="B1493" s="367" t="s">
        <v>2142</v>
      </c>
      <c r="C1493" s="368" t="s">
        <v>1020</v>
      </c>
      <c r="D1493" s="369" t="s">
        <v>12</v>
      </c>
      <c r="E1493" s="369" t="s">
        <v>15</v>
      </c>
      <c r="F1493" s="370"/>
      <c r="G1493" s="356"/>
      <c r="H1493" s="371"/>
    </row>
    <row r="1494" spans="2:8">
      <c r="B1494" s="358" t="s">
        <v>1753</v>
      </c>
      <c r="C1494" s="360" t="s">
        <v>1754</v>
      </c>
      <c r="D1494" s="361" t="s">
        <v>401</v>
      </c>
      <c r="E1494" s="361" t="s">
        <v>15</v>
      </c>
      <c r="F1494" s="362">
        <v>1.05</v>
      </c>
      <c r="G1494" s="359">
        <v>2.3199999999999998</v>
      </c>
      <c r="H1494" s="363">
        <f>F1494*G1494</f>
        <v>2.4359999999999999</v>
      </c>
    </row>
    <row r="1495" spans="2:8" ht="25.5">
      <c r="B1495" s="358" t="s">
        <v>1622</v>
      </c>
      <c r="C1495" s="360" t="s">
        <v>1623</v>
      </c>
      <c r="D1495" s="361" t="s">
        <v>12</v>
      </c>
      <c r="E1495" s="361" t="s">
        <v>1128</v>
      </c>
      <c r="F1495" s="362" t="s">
        <v>1387</v>
      </c>
      <c r="G1495" s="359">
        <v>20.43</v>
      </c>
      <c r="H1495" s="363">
        <f t="shared" ref="H1495:H1496" si="140">F1495*G1495</f>
        <v>2.4516</v>
      </c>
    </row>
    <row r="1496" spans="2:8" ht="25.5">
      <c r="B1496" s="358" t="s">
        <v>1624</v>
      </c>
      <c r="C1496" s="360" t="s">
        <v>1625</v>
      </c>
      <c r="D1496" s="361" t="s">
        <v>12</v>
      </c>
      <c r="E1496" s="361" t="s">
        <v>1128</v>
      </c>
      <c r="F1496" s="362" t="s">
        <v>1387</v>
      </c>
      <c r="G1496" s="359">
        <v>26.47</v>
      </c>
      <c r="H1496" s="363">
        <f t="shared" si="140"/>
        <v>3.1763999999999997</v>
      </c>
    </row>
    <row r="1497" spans="2:8">
      <c r="B1497" s="699" t="s">
        <v>1231</v>
      </c>
      <c r="C1497" s="700"/>
      <c r="D1497" s="700"/>
      <c r="E1497" s="700"/>
      <c r="F1497" s="700"/>
      <c r="G1497" s="701"/>
      <c r="H1497" s="364">
        <f>SUM(H1494:H1496)</f>
        <v>8.0640000000000001</v>
      </c>
    </row>
    <row r="1498" spans="2:8">
      <c r="B1498" s="711"/>
      <c r="C1498" s="712"/>
      <c r="D1498" s="712"/>
      <c r="E1498" s="712"/>
      <c r="F1498" s="712"/>
      <c r="G1498" s="712"/>
      <c r="H1498" s="713"/>
    </row>
    <row r="1499" spans="2:8" ht="25.5">
      <c r="B1499" s="367" t="s">
        <v>2143</v>
      </c>
      <c r="C1499" s="368" t="s">
        <v>1022</v>
      </c>
      <c r="D1499" s="369" t="s">
        <v>12</v>
      </c>
      <c r="E1499" s="369" t="s">
        <v>15</v>
      </c>
      <c r="F1499" s="370"/>
      <c r="G1499" s="356"/>
      <c r="H1499" s="371"/>
    </row>
    <row r="1500" spans="2:8" ht="38.25">
      <c r="B1500" s="358" t="s">
        <v>1755</v>
      </c>
      <c r="C1500" s="360" t="s">
        <v>1756</v>
      </c>
      <c r="D1500" s="361" t="s">
        <v>401</v>
      </c>
      <c r="E1500" s="361" t="s">
        <v>15</v>
      </c>
      <c r="F1500" s="362">
        <v>1.05</v>
      </c>
      <c r="G1500" s="359">
        <v>3.56</v>
      </c>
      <c r="H1500" s="363">
        <f>F1500*G1500</f>
        <v>3.7380000000000004</v>
      </c>
    </row>
    <row r="1501" spans="2:8" ht="25.5">
      <c r="B1501" s="358" t="s">
        <v>1622</v>
      </c>
      <c r="C1501" s="360" t="s">
        <v>1623</v>
      </c>
      <c r="D1501" s="361" t="s">
        <v>12</v>
      </c>
      <c r="E1501" s="361" t="s">
        <v>1128</v>
      </c>
      <c r="F1501" s="362" t="s">
        <v>1387</v>
      </c>
      <c r="G1501" s="359">
        <v>20.43</v>
      </c>
      <c r="H1501" s="363">
        <f t="shared" ref="H1501:H1502" si="141">F1501*G1501</f>
        <v>2.4516</v>
      </c>
    </row>
    <row r="1502" spans="2:8" ht="25.5">
      <c r="B1502" s="358" t="s">
        <v>1624</v>
      </c>
      <c r="C1502" s="360" t="s">
        <v>1625</v>
      </c>
      <c r="D1502" s="361" t="s">
        <v>12</v>
      </c>
      <c r="E1502" s="361" t="s">
        <v>1128</v>
      </c>
      <c r="F1502" s="362" t="s">
        <v>1387</v>
      </c>
      <c r="G1502" s="359">
        <v>26.47</v>
      </c>
      <c r="H1502" s="363">
        <f t="shared" si="141"/>
        <v>3.1763999999999997</v>
      </c>
    </row>
    <row r="1503" spans="2:8">
      <c r="B1503" s="699" t="s">
        <v>1231</v>
      </c>
      <c r="C1503" s="700"/>
      <c r="D1503" s="700"/>
      <c r="E1503" s="700"/>
      <c r="F1503" s="700"/>
      <c r="G1503" s="701"/>
      <c r="H1503" s="364">
        <f>SUM(H1500:H1502)</f>
        <v>9.3659999999999997</v>
      </c>
    </row>
    <row r="1504" spans="2:8">
      <c r="B1504" s="711"/>
      <c r="C1504" s="712"/>
      <c r="D1504" s="712"/>
      <c r="E1504" s="712"/>
      <c r="F1504" s="712"/>
      <c r="G1504" s="712"/>
      <c r="H1504" s="713"/>
    </row>
    <row r="1505" spans="2:8" ht="25.5">
      <c r="B1505" s="367" t="s">
        <v>2144</v>
      </c>
      <c r="C1505" s="368" t="s">
        <v>1026</v>
      </c>
      <c r="D1505" s="369" t="s">
        <v>12</v>
      </c>
      <c r="E1505" s="369" t="s">
        <v>37</v>
      </c>
      <c r="F1505" s="370"/>
      <c r="G1505" s="356"/>
      <c r="H1505" s="371"/>
    </row>
    <row r="1506" spans="2:8">
      <c r="B1506" s="358">
        <v>88247</v>
      </c>
      <c r="C1506" s="360" t="s">
        <v>1256</v>
      </c>
      <c r="D1506" s="361" t="s">
        <v>1228</v>
      </c>
      <c r="E1506" s="361" t="s">
        <v>1128</v>
      </c>
      <c r="F1506" s="362">
        <v>1.1000000000000001</v>
      </c>
      <c r="G1506" s="359">
        <v>20.43</v>
      </c>
      <c r="H1506" s="363">
        <f>F1506*G1506</f>
        <v>22.473000000000003</v>
      </c>
    </row>
    <row r="1507" spans="2:8">
      <c r="B1507" s="358">
        <v>88264</v>
      </c>
      <c r="C1507" s="360" t="s">
        <v>1257</v>
      </c>
      <c r="D1507" s="361" t="s">
        <v>1228</v>
      </c>
      <c r="E1507" s="361" t="s">
        <v>1128</v>
      </c>
      <c r="F1507" s="362">
        <v>1.1000000000000001</v>
      </c>
      <c r="G1507" s="359">
        <v>26.47</v>
      </c>
      <c r="H1507" s="363">
        <f t="shared" ref="H1507:H1508" si="142">F1507*G1507</f>
        <v>29.117000000000001</v>
      </c>
    </row>
    <row r="1508" spans="2:8" ht="28.5" customHeight="1">
      <c r="B1508" s="358" t="s">
        <v>1757</v>
      </c>
      <c r="C1508" s="360" t="s">
        <v>1758</v>
      </c>
      <c r="D1508" s="361" t="s">
        <v>401</v>
      </c>
      <c r="E1508" s="361" t="s">
        <v>37</v>
      </c>
      <c r="F1508" s="362">
        <v>1</v>
      </c>
      <c r="G1508" s="359">
        <f>136.67*1.2173</f>
        <v>166.368391</v>
      </c>
      <c r="H1508" s="363">
        <f t="shared" si="142"/>
        <v>166.368391</v>
      </c>
    </row>
    <row r="1509" spans="2:8">
      <c r="B1509" s="699" t="s">
        <v>1231</v>
      </c>
      <c r="C1509" s="700"/>
      <c r="D1509" s="700"/>
      <c r="E1509" s="700"/>
      <c r="F1509" s="700"/>
      <c r="G1509" s="701"/>
      <c r="H1509" s="364">
        <f>SUM(H1506:H1508)</f>
        <v>217.95839100000001</v>
      </c>
    </row>
    <row r="1510" spans="2:8">
      <c r="B1510" s="772"/>
      <c r="C1510" s="773"/>
      <c r="D1510" s="773"/>
      <c r="E1510" s="773"/>
      <c r="F1510" s="773"/>
      <c r="G1510" s="773"/>
      <c r="H1510" s="774"/>
    </row>
    <row r="1511" spans="2:8" ht="25.5">
      <c r="B1511" s="367" t="s">
        <v>2145</v>
      </c>
      <c r="C1511" s="368" t="s">
        <v>1036</v>
      </c>
      <c r="D1511" s="369" t="s">
        <v>12</v>
      </c>
      <c r="E1511" s="369" t="s">
        <v>37</v>
      </c>
      <c r="F1511" s="370"/>
      <c r="G1511" s="356"/>
      <c r="H1511" s="371"/>
    </row>
    <row r="1512" spans="2:8" ht="25.5">
      <c r="B1512" s="358" t="s">
        <v>1759</v>
      </c>
      <c r="C1512" s="360" t="s">
        <v>2146</v>
      </c>
      <c r="D1512" s="361" t="s">
        <v>401</v>
      </c>
      <c r="E1512" s="361" t="s">
        <v>1600</v>
      </c>
      <c r="F1512" s="362">
        <v>6</v>
      </c>
      <c r="G1512" s="359">
        <v>45.31</v>
      </c>
      <c r="H1512" s="363">
        <f>F1512*G1512</f>
        <v>271.86</v>
      </c>
    </row>
    <row r="1513" spans="2:8" ht="25.5">
      <c r="B1513" s="358" t="s">
        <v>1760</v>
      </c>
      <c r="C1513" s="360" t="s">
        <v>1761</v>
      </c>
      <c r="D1513" s="361" t="s">
        <v>401</v>
      </c>
      <c r="E1513" s="361" t="s">
        <v>1600</v>
      </c>
      <c r="F1513" s="362">
        <v>1</v>
      </c>
      <c r="G1513" s="359">
        <v>633.14</v>
      </c>
      <c r="H1513" s="363">
        <f t="shared" ref="H1513:H1521" si="143">F1513*G1513</f>
        <v>633.14</v>
      </c>
    </row>
    <row r="1514" spans="2:8">
      <c r="B1514" s="358" t="s">
        <v>1762</v>
      </c>
      <c r="C1514" s="360" t="s">
        <v>1763</v>
      </c>
      <c r="D1514" s="361" t="s">
        <v>401</v>
      </c>
      <c r="E1514" s="361" t="s">
        <v>1600</v>
      </c>
      <c r="F1514" s="362">
        <v>1</v>
      </c>
      <c r="G1514" s="359">
        <v>41.9</v>
      </c>
      <c r="H1514" s="363">
        <f t="shared" si="143"/>
        <v>41.9</v>
      </c>
    </row>
    <row r="1515" spans="2:8">
      <c r="B1515" s="358" t="s">
        <v>1764</v>
      </c>
      <c r="C1515" s="93" t="s">
        <v>1765</v>
      </c>
      <c r="D1515" s="94" t="s">
        <v>401</v>
      </c>
      <c r="E1515" s="94" t="s">
        <v>1600</v>
      </c>
      <c r="F1515" s="90">
        <v>1</v>
      </c>
      <c r="G1515" s="359">
        <f>28.34*1.2173</f>
        <v>34.498282000000003</v>
      </c>
      <c r="H1515" s="124">
        <f t="shared" si="143"/>
        <v>34.498282000000003</v>
      </c>
    </row>
    <row r="1516" spans="2:8" ht="27.75" customHeight="1">
      <c r="B1516" s="358">
        <v>11756</v>
      </c>
      <c r="C1516" s="93" t="s">
        <v>1766</v>
      </c>
      <c r="D1516" s="94" t="s">
        <v>401</v>
      </c>
      <c r="E1516" s="94" t="s">
        <v>37</v>
      </c>
      <c r="F1516" s="90">
        <v>1</v>
      </c>
      <c r="G1516" s="359">
        <v>45.37</v>
      </c>
      <c r="H1516" s="124">
        <f t="shared" si="143"/>
        <v>45.37</v>
      </c>
    </row>
    <row r="1517" spans="2:8">
      <c r="B1517" s="358" t="s">
        <v>1767</v>
      </c>
      <c r="C1517" s="93" t="s">
        <v>1768</v>
      </c>
      <c r="D1517" s="94" t="s">
        <v>401</v>
      </c>
      <c r="E1517" s="94" t="s">
        <v>37</v>
      </c>
      <c r="F1517" s="90">
        <v>6</v>
      </c>
      <c r="G1517" s="359">
        <f>728*1.2173</f>
        <v>886.19440000000009</v>
      </c>
      <c r="H1517" s="124">
        <f t="shared" si="143"/>
        <v>5317.1664000000001</v>
      </c>
    </row>
    <row r="1518" spans="2:8" ht="16.5" customHeight="1">
      <c r="B1518" s="358" t="s">
        <v>1769</v>
      </c>
      <c r="C1518" s="93" t="s">
        <v>1770</v>
      </c>
      <c r="D1518" s="94" t="s">
        <v>401</v>
      </c>
      <c r="E1518" s="94" t="s">
        <v>1600</v>
      </c>
      <c r="F1518" s="90">
        <v>1</v>
      </c>
      <c r="G1518" s="359">
        <v>32.81</v>
      </c>
      <c r="H1518" s="124">
        <f t="shared" si="143"/>
        <v>32.81</v>
      </c>
    </row>
    <row r="1519" spans="2:8" ht="25.5">
      <c r="B1519" s="358" t="s">
        <v>1771</v>
      </c>
      <c r="C1519" s="93" t="s">
        <v>1772</v>
      </c>
      <c r="D1519" s="94" t="s">
        <v>401</v>
      </c>
      <c r="E1519" s="94" t="s">
        <v>37</v>
      </c>
      <c r="F1519" s="90">
        <v>2</v>
      </c>
      <c r="G1519" s="359">
        <f>22.38*1.2173</f>
        <v>27.243174</v>
      </c>
      <c r="H1519" s="124">
        <f t="shared" si="143"/>
        <v>54.486348</v>
      </c>
    </row>
    <row r="1520" spans="2:8" ht="38.25">
      <c r="B1520" s="358" t="s">
        <v>1374</v>
      </c>
      <c r="C1520" s="93" t="s">
        <v>1375</v>
      </c>
      <c r="D1520" s="94" t="s">
        <v>12</v>
      </c>
      <c r="E1520" s="94" t="s">
        <v>1128</v>
      </c>
      <c r="F1520" s="90">
        <v>16</v>
      </c>
      <c r="G1520" s="359">
        <v>20.100000000000001</v>
      </c>
      <c r="H1520" s="124">
        <f t="shared" si="143"/>
        <v>321.60000000000002</v>
      </c>
    </row>
    <row r="1521" spans="2:8" ht="40.5" customHeight="1">
      <c r="B1521" s="358" t="s">
        <v>1376</v>
      </c>
      <c r="C1521" s="93" t="s">
        <v>1377</v>
      </c>
      <c r="D1521" s="94" t="s">
        <v>12</v>
      </c>
      <c r="E1521" s="94" t="s">
        <v>1128</v>
      </c>
      <c r="F1521" s="90">
        <v>16</v>
      </c>
      <c r="G1521" s="359">
        <v>25.58</v>
      </c>
      <c r="H1521" s="124">
        <f t="shared" si="143"/>
        <v>409.28</v>
      </c>
    </row>
    <row r="1522" spans="2:8">
      <c r="B1522" s="717" t="s">
        <v>1231</v>
      </c>
      <c r="C1522" s="718"/>
      <c r="D1522" s="718"/>
      <c r="E1522" s="718"/>
      <c r="F1522" s="718"/>
      <c r="G1522" s="719"/>
      <c r="H1522" s="125">
        <f>SUM(H1512:H1521)</f>
        <v>7162.1110300000009</v>
      </c>
    </row>
    <row r="1523" spans="2:8">
      <c r="B1523" s="756"/>
      <c r="C1523" s="757"/>
      <c r="D1523" s="757"/>
      <c r="E1523" s="757"/>
      <c r="F1523" s="757"/>
      <c r="G1523" s="757"/>
      <c r="H1523" s="758"/>
    </row>
    <row r="1524" spans="2:8" ht="25.5">
      <c r="B1524" s="367" t="s">
        <v>2147</v>
      </c>
      <c r="C1524" s="118" t="s">
        <v>1037</v>
      </c>
      <c r="D1524" s="119" t="s">
        <v>12</v>
      </c>
      <c r="E1524" s="119" t="s">
        <v>15</v>
      </c>
      <c r="F1524" s="120"/>
      <c r="G1524" s="121"/>
      <c r="H1524" s="122"/>
    </row>
    <row r="1525" spans="2:8" ht="25.5">
      <c r="B1525" s="358" t="s">
        <v>1490</v>
      </c>
      <c r="C1525" s="360" t="s">
        <v>1491</v>
      </c>
      <c r="D1525" s="361" t="s">
        <v>12</v>
      </c>
      <c r="E1525" s="361" t="s">
        <v>1128</v>
      </c>
      <c r="F1525" s="362" t="s">
        <v>1363</v>
      </c>
      <c r="G1525" s="359">
        <v>19.38</v>
      </c>
      <c r="H1525" s="363">
        <f>F1525*G1525</f>
        <v>3.8759999999999999</v>
      </c>
    </row>
    <row r="1526" spans="2:8" ht="25.5">
      <c r="B1526" s="358" t="s">
        <v>1337</v>
      </c>
      <c r="C1526" s="360" t="s">
        <v>1338</v>
      </c>
      <c r="D1526" s="361" t="s">
        <v>12</v>
      </c>
      <c r="E1526" s="361" t="s">
        <v>1128</v>
      </c>
      <c r="F1526" s="362" t="s">
        <v>1278</v>
      </c>
      <c r="G1526" s="359">
        <v>26.2</v>
      </c>
      <c r="H1526" s="363">
        <f t="shared" ref="H1526:H1528" si="144">F1526*G1526</f>
        <v>2.62</v>
      </c>
    </row>
    <row r="1527" spans="2:8" ht="63.75">
      <c r="B1527" s="358" t="s">
        <v>1773</v>
      </c>
      <c r="C1527" s="360" t="s">
        <v>1774</v>
      </c>
      <c r="D1527" s="361" t="s">
        <v>12</v>
      </c>
      <c r="E1527" s="361" t="s">
        <v>15</v>
      </c>
      <c r="F1527" s="362">
        <v>1</v>
      </c>
      <c r="G1527" s="359">
        <v>76.84</v>
      </c>
      <c r="H1527" s="363">
        <f t="shared" si="144"/>
        <v>76.84</v>
      </c>
    </row>
    <row r="1528" spans="2:8" ht="51">
      <c r="B1528" s="358" t="s">
        <v>1287</v>
      </c>
      <c r="C1528" s="360" t="s">
        <v>1288</v>
      </c>
      <c r="D1528" s="361" t="s">
        <v>12</v>
      </c>
      <c r="E1528" s="361" t="s">
        <v>75</v>
      </c>
      <c r="F1528" s="362" t="s">
        <v>1331</v>
      </c>
      <c r="G1528" s="359">
        <v>494.98</v>
      </c>
      <c r="H1528" s="363">
        <f t="shared" si="144"/>
        <v>9.8996000000000013</v>
      </c>
    </row>
    <row r="1529" spans="2:8">
      <c r="B1529" s="699" t="s">
        <v>1231</v>
      </c>
      <c r="C1529" s="700"/>
      <c r="D1529" s="700"/>
      <c r="E1529" s="700"/>
      <c r="F1529" s="700"/>
      <c r="G1529" s="701"/>
      <c r="H1529" s="364">
        <f>SUM(H1525:H1528)</f>
        <v>93.235600000000005</v>
      </c>
    </row>
    <row r="1530" spans="2:8">
      <c r="B1530" s="365"/>
      <c r="C1530" s="366"/>
      <c r="D1530" s="366"/>
      <c r="E1530" s="366"/>
      <c r="F1530" s="366"/>
      <c r="G1530" s="366"/>
      <c r="H1530" s="381"/>
    </row>
    <row r="1531" spans="2:8" ht="25.5">
      <c r="B1531" s="367" t="s">
        <v>2148</v>
      </c>
      <c r="C1531" s="368" t="s">
        <v>1879</v>
      </c>
      <c r="D1531" s="369" t="s">
        <v>12</v>
      </c>
      <c r="E1531" s="369" t="s">
        <v>37</v>
      </c>
      <c r="F1531" s="370"/>
      <c r="G1531" s="356"/>
      <c r="H1531" s="371"/>
    </row>
    <row r="1532" spans="2:8" ht="25.5">
      <c r="B1532" s="358" t="s">
        <v>1490</v>
      </c>
      <c r="C1532" s="360" t="s">
        <v>1880</v>
      </c>
      <c r="D1532" s="361" t="s">
        <v>12</v>
      </c>
      <c r="E1532" s="361" t="s">
        <v>1128</v>
      </c>
      <c r="F1532" s="362">
        <v>0.68799999999999994</v>
      </c>
      <c r="G1532" s="359">
        <v>19.38</v>
      </c>
      <c r="H1532" s="363">
        <f>F1532*G1532</f>
        <v>13.333439999999998</v>
      </c>
    </row>
    <row r="1533" spans="2:8" ht="25.5">
      <c r="B1533" s="358" t="s">
        <v>1376</v>
      </c>
      <c r="C1533" s="360" t="s">
        <v>1881</v>
      </c>
      <c r="D1533" s="361" t="s">
        <v>12</v>
      </c>
      <c r="E1533" s="361" t="s">
        <v>1128</v>
      </c>
      <c r="F1533" s="362">
        <v>0.68799999999999994</v>
      </c>
      <c r="G1533" s="359">
        <v>25.58</v>
      </c>
      <c r="H1533" s="363">
        <f t="shared" ref="H1533:H1537" si="145">F1533*G1533</f>
        <v>17.599039999999999</v>
      </c>
    </row>
    <row r="1534" spans="2:8" ht="25.5">
      <c r="B1534" s="431">
        <v>38868</v>
      </c>
      <c r="C1534" s="360" t="s">
        <v>1882</v>
      </c>
      <c r="D1534" s="361" t="s">
        <v>1807</v>
      </c>
      <c r="E1534" s="361" t="s">
        <v>37</v>
      </c>
      <c r="F1534" s="362">
        <v>1</v>
      </c>
      <c r="G1534" s="359">
        <v>20.95</v>
      </c>
      <c r="H1534" s="363">
        <f t="shared" si="145"/>
        <v>20.95</v>
      </c>
    </row>
    <row r="1535" spans="2:8" ht="25.5">
      <c r="B1535" s="431">
        <v>1400100136</v>
      </c>
      <c r="C1535" s="360" t="s">
        <v>1883</v>
      </c>
      <c r="D1535" s="361" t="s">
        <v>1807</v>
      </c>
      <c r="E1535" s="361" t="s">
        <v>37</v>
      </c>
      <c r="F1535" s="362">
        <v>1</v>
      </c>
      <c r="G1535" s="359">
        <f>20.15*1.2173</f>
        <v>24.528594999999999</v>
      </c>
      <c r="H1535" s="363">
        <f t="shared" si="145"/>
        <v>24.528594999999999</v>
      </c>
    </row>
    <row r="1536" spans="2:8">
      <c r="B1536" s="431">
        <v>38946</v>
      </c>
      <c r="C1536" s="360" t="s">
        <v>1884</v>
      </c>
      <c r="D1536" s="361" t="s">
        <v>1807</v>
      </c>
      <c r="E1536" s="361" t="s">
        <v>37</v>
      </c>
      <c r="F1536" s="362">
        <v>1</v>
      </c>
      <c r="G1536" s="359">
        <v>22.07</v>
      </c>
      <c r="H1536" s="363">
        <f t="shared" si="145"/>
        <v>22.07</v>
      </c>
    </row>
    <row r="1537" spans="2:8" ht="25.5">
      <c r="B1537" s="431">
        <v>1400100138</v>
      </c>
      <c r="C1537" s="360" t="s">
        <v>1885</v>
      </c>
      <c r="D1537" s="361" t="s">
        <v>1807</v>
      </c>
      <c r="E1537" s="361" t="s">
        <v>37</v>
      </c>
      <c r="F1537" s="362">
        <v>1</v>
      </c>
      <c r="G1537" s="359">
        <f>193.46*1.2173</f>
        <v>235.49885800000001</v>
      </c>
      <c r="H1537" s="363">
        <f t="shared" si="145"/>
        <v>235.49885800000001</v>
      </c>
    </row>
    <row r="1538" spans="2:8">
      <c r="B1538" s="699" t="s">
        <v>1231</v>
      </c>
      <c r="C1538" s="700"/>
      <c r="D1538" s="700"/>
      <c r="E1538" s="700"/>
      <c r="F1538" s="700"/>
      <c r="G1538" s="701"/>
      <c r="H1538" s="364">
        <f>SUM(H1532:H1537)</f>
        <v>333.97993300000002</v>
      </c>
    </row>
    <row r="1539" spans="2:8">
      <c r="B1539" s="711"/>
      <c r="C1539" s="712"/>
      <c r="D1539" s="712"/>
      <c r="E1539" s="712"/>
      <c r="F1539" s="712"/>
      <c r="G1539" s="712"/>
      <c r="H1539" s="713"/>
    </row>
    <row r="1540" spans="2:8" ht="38.25">
      <c r="B1540" s="367" t="s">
        <v>2149</v>
      </c>
      <c r="C1540" s="368" t="s">
        <v>1044</v>
      </c>
      <c r="D1540" s="369" t="s">
        <v>12</v>
      </c>
      <c r="E1540" s="369" t="s">
        <v>15</v>
      </c>
      <c r="F1540" s="370"/>
      <c r="G1540" s="356"/>
      <c r="H1540" s="371"/>
    </row>
    <row r="1541" spans="2:8">
      <c r="B1541" s="358">
        <v>88248</v>
      </c>
      <c r="C1541" s="360" t="s">
        <v>1242</v>
      </c>
      <c r="D1541" s="361" t="s">
        <v>1228</v>
      </c>
      <c r="E1541" s="361" t="s">
        <v>1128</v>
      </c>
      <c r="F1541" s="362">
        <v>2.2000000000000002</v>
      </c>
      <c r="G1541" s="359">
        <v>20.100000000000001</v>
      </c>
      <c r="H1541" s="363">
        <f>F1541*G1541</f>
        <v>44.220000000000006</v>
      </c>
    </row>
    <row r="1542" spans="2:8">
      <c r="B1542" s="358">
        <v>88267</v>
      </c>
      <c r="C1542" s="360" t="s">
        <v>1244</v>
      </c>
      <c r="D1542" s="361" t="s">
        <v>1228</v>
      </c>
      <c r="E1542" s="361" t="s">
        <v>1128</v>
      </c>
      <c r="F1542" s="362">
        <v>2.2000000000000002</v>
      </c>
      <c r="G1542" s="359">
        <v>25.58</v>
      </c>
      <c r="H1542" s="363">
        <f t="shared" ref="H1542:H1544" si="146">F1542*G1542</f>
        <v>56.276000000000003</v>
      </c>
    </row>
    <row r="1543" spans="2:8" ht="25.5">
      <c r="B1543" s="358">
        <v>7693</v>
      </c>
      <c r="C1543" s="360" t="s">
        <v>1775</v>
      </c>
      <c r="D1543" s="361" t="s">
        <v>401</v>
      </c>
      <c r="E1543" s="361" t="s">
        <v>15</v>
      </c>
      <c r="F1543" s="362">
        <v>1.3</v>
      </c>
      <c r="G1543" s="359">
        <v>206.82</v>
      </c>
      <c r="H1543" s="363">
        <f t="shared" si="146"/>
        <v>268.86599999999999</v>
      </c>
    </row>
    <row r="1544" spans="2:8" ht="25.5">
      <c r="B1544" s="425">
        <v>3148</v>
      </c>
      <c r="C1544" s="426" t="s">
        <v>1254</v>
      </c>
      <c r="D1544" s="427" t="s">
        <v>401</v>
      </c>
      <c r="E1544" s="427" t="s">
        <v>37</v>
      </c>
      <c r="F1544" s="428">
        <v>4.5897079E-2</v>
      </c>
      <c r="G1544" s="429">
        <v>15.3</v>
      </c>
      <c r="H1544" s="363">
        <f t="shared" si="146"/>
        <v>0.70222530869999999</v>
      </c>
    </row>
    <row r="1545" spans="2:8">
      <c r="B1545" s="772" t="s">
        <v>1231</v>
      </c>
      <c r="C1545" s="773"/>
      <c r="D1545" s="773"/>
      <c r="E1545" s="773"/>
      <c r="F1545" s="773"/>
      <c r="G1545" s="774"/>
      <c r="H1545" s="389">
        <f>SUM(H1541:H1544)</f>
        <v>370.06422530869997</v>
      </c>
    </row>
    <row r="1546" spans="2:8">
      <c r="B1546" s="702"/>
      <c r="C1546" s="703"/>
      <c r="D1546" s="703"/>
      <c r="E1546" s="703"/>
      <c r="F1546" s="703"/>
      <c r="G1546" s="703"/>
      <c r="H1546" s="704"/>
    </row>
    <row r="1547" spans="2:8" ht="38.25">
      <c r="B1547" s="367" t="s">
        <v>2150</v>
      </c>
      <c r="C1547" s="368" t="s">
        <v>1045</v>
      </c>
      <c r="D1547" s="369" t="s">
        <v>12</v>
      </c>
      <c r="E1547" s="369" t="s">
        <v>15</v>
      </c>
      <c r="F1547" s="370"/>
      <c r="G1547" s="356"/>
      <c r="H1547" s="371"/>
    </row>
    <row r="1548" spans="2:8">
      <c r="B1548" s="358">
        <v>88248</v>
      </c>
      <c r="C1548" s="360" t="s">
        <v>1242</v>
      </c>
      <c r="D1548" s="361" t="s">
        <v>1228</v>
      </c>
      <c r="E1548" s="361" t="s">
        <v>1128</v>
      </c>
      <c r="F1548" s="362">
        <v>2.65</v>
      </c>
      <c r="G1548" s="359">
        <v>20.100000000000001</v>
      </c>
      <c r="H1548" s="363">
        <f>F1548*G1548</f>
        <v>53.265000000000001</v>
      </c>
    </row>
    <row r="1549" spans="2:8">
      <c r="B1549" s="358">
        <v>88267</v>
      </c>
      <c r="C1549" s="360" t="s">
        <v>1244</v>
      </c>
      <c r="D1549" s="361" t="s">
        <v>1228</v>
      </c>
      <c r="E1549" s="361" t="s">
        <v>1128</v>
      </c>
      <c r="F1549" s="362">
        <v>2.65</v>
      </c>
      <c r="G1549" s="359">
        <v>25.58</v>
      </c>
      <c r="H1549" s="363">
        <f t="shared" ref="H1549:H1551" si="147">F1549*G1549</f>
        <v>67.786999999999992</v>
      </c>
    </row>
    <row r="1550" spans="2:8" ht="25.5">
      <c r="B1550" s="358">
        <v>7695</v>
      </c>
      <c r="C1550" s="360" t="s">
        <v>1776</v>
      </c>
      <c r="D1550" s="361" t="s">
        <v>401</v>
      </c>
      <c r="E1550" s="361" t="s">
        <v>15</v>
      </c>
      <c r="F1550" s="362">
        <v>1.3</v>
      </c>
      <c r="G1550" s="359">
        <v>335.82</v>
      </c>
      <c r="H1550" s="363">
        <f t="shared" si="147"/>
        <v>436.56600000000003</v>
      </c>
    </row>
    <row r="1551" spans="2:8" ht="25.5">
      <c r="B1551" s="358">
        <v>3148</v>
      </c>
      <c r="C1551" s="360" t="s">
        <v>1254</v>
      </c>
      <c r="D1551" s="361" t="s">
        <v>401</v>
      </c>
      <c r="E1551" s="361" t="s">
        <v>37</v>
      </c>
      <c r="F1551" s="362">
        <v>6.3282335999999995E-2</v>
      </c>
      <c r="G1551" s="359">
        <v>15.3</v>
      </c>
      <c r="H1551" s="363">
        <f t="shared" si="147"/>
        <v>0.96821974079999995</v>
      </c>
    </row>
    <row r="1552" spans="2:8">
      <c r="B1552" s="699" t="s">
        <v>1231</v>
      </c>
      <c r="C1552" s="700"/>
      <c r="D1552" s="700"/>
      <c r="E1552" s="700"/>
      <c r="F1552" s="700"/>
      <c r="G1552" s="701"/>
      <c r="H1552" s="364">
        <f>SUM(H1548:H1551)</f>
        <v>558.58621974080006</v>
      </c>
    </row>
    <row r="1553" spans="2:8">
      <c r="B1553" s="711"/>
      <c r="C1553" s="712"/>
      <c r="D1553" s="712"/>
      <c r="E1553" s="712"/>
      <c r="F1553" s="712"/>
      <c r="G1553" s="712"/>
      <c r="H1553" s="713"/>
    </row>
    <row r="1554" spans="2:8" ht="25.5">
      <c r="B1554" s="367" t="s">
        <v>2151</v>
      </c>
      <c r="C1554" s="368" t="s">
        <v>1046</v>
      </c>
      <c r="D1554" s="369" t="s">
        <v>12</v>
      </c>
      <c r="E1554" s="369" t="s">
        <v>37</v>
      </c>
      <c r="F1554" s="370"/>
      <c r="G1554" s="356"/>
      <c r="H1554" s="371"/>
    </row>
    <row r="1555" spans="2:8">
      <c r="B1555" s="358">
        <v>88248</v>
      </c>
      <c r="C1555" s="360" t="s">
        <v>1242</v>
      </c>
      <c r="D1555" s="361" t="s">
        <v>1228</v>
      </c>
      <c r="E1555" s="361" t="s">
        <v>1128</v>
      </c>
      <c r="F1555" s="362">
        <v>1.1499999999999999</v>
      </c>
      <c r="G1555" s="359">
        <v>20.100000000000001</v>
      </c>
      <c r="H1555" s="363">
        <f>F1555*G1555</f>
        <v>23.114999999999998</v>
      </c>
    </row>
    <row r="1556" spans="2:8">
      <c r="B1556" s="358">
        <v>88267</v>
      </c>
      <c r="C1556" s="360" t="s">
        <v>1244</v>
      </c>
      <c r="D1556" s="361" t="s">
        <v>1228</v>
      </c>
      <c r="E1556" s="361" t="s">
        <v>1128</v>
      </c>
      <c r="F1556" s="362">
        <v>1.1499999999999999</v>
      </c>
      <c r="G1556" s="359">
        <v>25.58</v>
      </c>
      <c r="H1556" s="363">
        <f t="shared" ref="H1556:H1557" si="148">F1556*G1556</f>
        <v>29.416999999999994</v>
      </c>
    </row>
    <row r="1557" spans="2:8" ht="25.5">
      <c r="B1557" s="358" t="s">
        <v>1777</v>
      </c>
      <c r="C1557" s="360" t="s">
        <v>1778</v>
      </c>
      <c r="D1557" s="361" t="s">
        <v>401</v>
      </c>
      <c r="E1557" s="361" t="s">
        <v>37</v>
      </c>
      <c r="F1557" s="362">
        <v>1.0149999999999999</v>
      </c>
      <c r="G1557" s="359">
        <f>205.34*1.2173</f>
        <v>249.96038200000001</v>
      </c>
      <c r="H1557" s="363">
        <f t="shared" si="148"/>
        <v>253.70978772999999</v>
      </c>
    </row>
    <row r="1558" spans="2:8">
      <c r="B1558" s="699" t="s">
        <v>1231</v>
      </c>
      <c r="C1558" s="700"/>
      <c r="D1558" s="700"/>
      <c r="E1558" s="700"/>
      <c r="F1558" s="700"/>
      <c r="G1558" s="701"/>
      <c r="H1558" s="364">
        <f>SUM(H1555:H1557)</f>
        <v>306.24178773</v>
      </c>
    </row>
    <row r="1559" spans="2:8">
      <c r="B1559" s="711"/>
      <c r="C1559" s="712"/>
      <c r="D1559" s="712"/>
      <c r="E1559" s="712"/>
      <c r="F1559" s="712"/>
      <c r="G1559" s="712"/>
      <c r="H1559" s="713"/>
    </row>
    <row r="1560" spans="2:8" ht="25.5">
      <c r="B1560" s="367" t="s">
        <v>2152</v>
      </c>
      <c r="C1560" s="368" t="s">
        <v>1048</v>
      </c>
      <c r="D1560" s="369" t="s">
        <v>12</v>
      </c>
      <c r="E1560" s="369" t="s">
        <v>37</v>
      </c>
      <c r="F1560" s="370"/>
      <c r="G1560" s="356"/>
      <c r="H1560" s="371"/>
    </row>
    <row r="1561" spans="2:8">
      <c r="B1561" s="358">
        <v>88248</v>
      </c>
      <c r="C1561" s="360" t="s">
        <v>1242</v>
      </c>
      <c r="D1561" s="361" t="s">
        <v>1228</v>
      </c>
      <c r="E1561" s="361" t="s">
        <v>1128</v>
      </c>
      <c r="F1561" s="362">
        <v>1.47</v>
      </c>
      <c r="G1561" s="359">
        <v>20.100000000000001</v>
      </c>
      <c r="H1561" s="363">
        <f>F1561*G1561</f>
        <v>29.547000000000001</v>
      </c>
    </row>
    <row r="1562" spans="2:8">
      <c r="B1562" s="358">
        <v>88267</v>
      </c>
      <c r="C1562" s="360" t="s">
        <v>1244</v>
      </c>
      <c r="D1562" s="361" t="s">
        <v>1228</v>
      </c>
      <c r="E1562" s="361" t="s">
        <v>1128</v>
      </c>
      <c r="F1562" s="362">
        <v>1.47</v>
      </c>
      <c r="G1562" s="359">
        <v>25.58</v>
      </c>
      <c r="H1562" s="363">
        <f t="shared" ref="H1562:H1563" si="149">F1562*G1562</f>
        <v>37.602599999999995</v>
      </c>
    </row>
    <row r="1563" spans="2:8" ht="25.5">
      <c r="B1563" s="358" t="s">
        <v>1779</v>
      </c>
      <c r="C1563" s="360" t="s">
        <v>1780</v>
      </c>
      <c r="D1563" s="361" t="s">
        <v>401</v>
      </c>
      <c r="E1563" s="361" t="s">
        <v>37</v>
      </c>
      <c r="F1563" s="362">
        <v>1.0149999999999999</v>
      </c>
      <c r="G1563" s="359">
        <f>364.37*1.2173</f>
        <v>443.54760100000004</v>
      </c>
      <c r="H1563" s="363">
        <f t="shared" si="149"/>
        <v>450.20081501499999</v>
      </c>
    </row>
    <row r="1564" spans="2:8">
      <c r="B1564" s="699" t="s">
        <v>1231</v>
      </c>
      <c r="C1564" s="700"/>
      <c r="D1564" s="700"/>
      <c r="E1564" s="700"/>
      <c r="F1564" s="700"/>
      <c r="G1564" s="701"/>
      <c r="H1564" s="364">
        <f>SUM(H1561:H1563)</f>
        <v>517.35041501499995</v>
      </c>
    </row>
    <row r="1565" spans="2:8">
      <c r="B1565" s="711"/>
      <c r="C1565" s="712"/>
      <c r="D1565" s="712"/>
      <c r="E1565" s="712"/>
      <c r="F1565" s="712"/>
      <c r="G1565" s="712"/>
      <c r="H1565" s="713"/>
    </row>
    <row r="1566" spans="2:8" ht="25.5">
      <c r="B1566" s="367" t="s">
        <v>2203</v>
      </c>
      <c r="C1566" s="368" t="s">
        <v>2153</v>
      </c>
      <c r="D1566" s="369" t="s">
        <v>12</v>
      </c>
      <c r="E1566" s="369" t="s">
        <v>37</v>
      </c>
      <c r="F1566" s="370"/>
      <c r="G1566" s="356"/>
      <c r="H1566" s="371"/>
    </row>
    <row r="1567" spans="2:8" ht="25.5">
      <c r="B1567" s="358">
        <v>3461</v>
      </c>
      <c r="C1567" s="360" t="s">
        <v>1781</v>
      </c>
      <c r="D1567" s="361" t="s">
        <v>401</v>
      </c>
      <c r="E1567" s="361" t="s">
        <v>37</v>
      </c>
      <c r="F1567" s="362">
        <v>1</v>
      </c>
      <c r="G1567" s="359">
        <v>952.38</v>
      </c>
      <c r="H1567" s="363">
        <f>F1567*G1567</f>
        <v>952.38</v>
      </c>
    </row>
    <row r="1568" spans="2:8" ht="25.5">
      <c r="B1568" s="358">
        <v>3148</v>
      </c>
      <c r="C1568" s="360" t="s">
        <v>2154</v>
      </c>
      <c r="D1568" s="361" t="s">
        <v>401</v>
      </c>
      <c r="E1568" s="361" t="s">
        <v>37</v>
      </c>
      <c r="F1568" s="362">
        <v>4.5199999999999997E-2</v>
      </c>
      <c r="G1568" s="359">
        <v>15.3</v>
      </c>
      <c r="H1568" s="363">
        <f t="shared" ref="H1568:H1571" si="150">F1568*G1568</f>
        <v>0.69155999999999995</v>
      </c>
    </row>
    <row r="1569" spans="2:8">
      <c r="B1569" s="358">
        <v>7307</v>
      </c>
      <c r="C1569" s="360" t="s">
        <v>2155</v>
      </c>
      <c r="D1569" s="361" t="s">
        <v>401</v>
      </c>
      <c r="E1569" s="361" t="s">
        <v>1293</v>
      </c>
      <c r="F1569" s="362">
        <v>1.0500000000000001E-2</v>
      </c>
      <c r="G1569" s="359">
        <v>40.43</v>
      </c>
      <c r="H1569" s="363">
        <f t="shared" si="150"/>
        <v>0.42451500000000003</v>
      </c>
    </row>
    <row r="1570" spans="2:8" ht="25.5">
      <c r="B1570" s="358" t="s">
        <v>1376</v>
      </c>
      <c r="C1570" s="360" t="s">
        <v>1377</v>
      </c>
      <c r="D1570" s="361" t="s">
        <v>12</v>
      </c>
      <c r="E1570" s="361" t="s">
        <v>1128</v>
      </c>
      <c r="F1570" s="362">
        <v>1.4318</v>
      </c>
      <c r="G1570" s="359">
        <v>25.58</v>
      </c>
      <c r="H1570" s="363">
        <f t="shared" si="150"/>
        <v>36.625443999999995</v>
      </c>
    </row>
    <row r="1571" spans="2:8" ht="38.25">
      <c r="B1571" s="358" t="s">
        <v>1374</v>
      </c>
      <c r="C1571" s="360" t="s">
        <v>1375</v>
      </c>
      <c r="D1571" s="361" t="s">
        <v>12</v>
      </c>
      <c r="E1571" s="361" t="s">
        <v>1128</v>
      </c>
      <c r="F1571" s="362">
        <v>1.4318</v>
      </c>
      <c r="G1571" s="359">
        <v>20.100000000000001</v>
      </c>
      <c r="H1571" s="363">
        <f t="shared" si="150"/>
        <v>28.77918</v>
      </c>
    </row>
    <row r="1572" spans="2:8">
      <c r="B1572" s="699" t="s">
        <v>1231</v>
      </c>
      <c r="C1572" s="700"/>
      <c r="D1572" s="700"/>
      <c r="E1572" s="700"/>
      <c r="F1572" s="700"/>
      <c r="G1572" s="701"/>
      <c r="H1572" s="364">
        <f>SUM(H1567:H1571)</f>
        <v>1018.900699</v>
      </c>
    </row>
    <row r="1573" spans="2:8">
      <c r="B1573" s="711"/>
      <c r="C1573" s="712"/>
      <c r="D1573" s="712"/>
      <c r="E1573" s="712"/>
      <c r="F1573" s="712"/>
      <c r="G1573" s="712"/>
      <c r="H1573" s="713"/>
    </row>
    <row r="1574" spans="2:8" ht="25.5">
      <c r="B1574" s="367" t="s">
        <v>2156</v>
      </c>
      <c r="C1574" s="368" t="s">
        <v>1082</v>
      </c>
      <c r="D1574" s="369" t="s">
        <v>12</v>
      </c>
      <c r="E1574" s="369" t="s">
        <v>37</v>
      </c>
      <c r="F1574" s="370"/>
      <c r="G1574" s="356"/>
      <c r="H1574" s="371"/>
    </row>
    <row r="1575" spans="2:8">
      <c r="B1575" s="358">
        <v>88248</v>
      </c>
      <c r="C1575" s="360" t="s">
        <v>1242</v>
      </c>
      <c r="D1575" s="361" t="s">
        <v>1228</v>
      </c>
      <c r="E1575" s="361" t="s">
        <v>1128</v>
      </c>
      <c r="F1575" s="362">
        <v>1.48</v>
      </c>
      <c r="G1575" s="359">
        <v>20.100000000000001</v>
      </c>
      <c r="H1575" s="363">
        <f>F1575*G1575</f>
        <v>29.748000000000001</v>
      </c>
    </row>
    <row r="1576" spans="2:8">
      <c r="B1576" s="358">
        <v>88267</v>
      </c>
      <c r="C1576" s="360" t="s">
        <v>1244</v>
      </c>
      <c r="D1576" s="361" t="s">
        <v>1228</v>
      </c>
      <c r="E1576" s="361" t="s">
        <v>1128</v>
      </c>
      <c r="F1576" s="362">
        <v>1.48</v>
      </c>
      <c r="G1576" s="359">
        <v>25.58</v>
      </c>
      <c r="H1576" s="363">
        <f t="shared" ref="H1576:H1578" si="151">F1576*G1576</f>
        <v>37.858399999999996</v>
      </c>
    </row>
    <row r="1577" spans="2:8" ht="25.5">
      <c r="B1577" s="358">
        <v>3148</v>
      </c>
      <c r="C1577" s="360" t="s">
        <v>1254</v>
      </c>
      <c r="D1577" s="361" t="s">
        <v>401</v>
      </c>
      <c r="E1577" s="361" t="s">
        <v>15</v>
      </c>
      <c r="F1577" s="362">
        <v>7.6495131999999993E-2</v>
      </c>
      <c r="G1577" s="359">
        <v>15.3</v>
      </c>
      <c r="H1577" s="363">
        <f t="shared" si="151"/>
        <v>1.1703755195999999</v>
      </c>
    </row>
    <row r="1578" spans="2:8" ht="25.5">
      <c r="B1578" s="358" t="s">
        <v>1782</v>
      </c>
      <c r="C1578" s="360" t="s">
        <v>1783</v>
      </c>
      <c r="D1578" s="361" t="s">
        <v>401</v>
      </c>
      <c r="E1578" s="361" t="s">
        <v>37</v>
      </c>
      <c r="F1578" s="362">
        <v>1</v>
      </c>
      <c r="G1578" s="359">
        <f>883.46*1.2173</f>
        <v>1075.4358580000001</v>
      </c>
      <c r="H1578" s="363">
        <f t="shared" si="151"/>
        <v>1075.4358580000001</v>
      </c>
    </row>
    <row r="1579" spans="2:8">
      <c r="B1579" s="699" t="s">
        <v>1231</v>
      </c>
      <c r="C1579" s="700"/>
      <c r="D1579" s="700"/>
      <c r="E1579" s="700"/>
      <c r="F1579" s="700"/>
      <c r="G1579" s="701"/>
      <c r="H1579" s="364">
        <f>SUM(H1575:H1578)</f>
        <v>1144.2126335196001</v>
      </c>
    </row>
    <row r="1580" spans="2:8">
      <c r="B1580" s="775"/>
      <c r="C1580" s="776"/>
      <c r="D1580" s="776"/>
      <c r="E1580" s="776"/>
      <c r="F1580" s="776"/>
      <c r="G1580" s="776"/>
      <c r="H1580" s="777"/>
    </row>
    <row r="1581" spans="2:8" ht="25.5">
      <c r="B1581" s="367" t="s">
        <v>2157</v>
      </c>
      <c r="C1581" s="368" t="s">
        <v>1095</v>
      </c>
      <c r="D1581" s="369" t="s">
        <v>12</v>
      </c>
      <c r="E1581" s="369" t="s">
        <v>37</v>
      </c>
      <c r="F1581" s="370"/>
      <c r="G1581" s="356"/>
      <c r="H1581" s="371"/>
    </row>
    <row r="1582" spans="2:8" ht="25.5">
      <c r="B1582" s="358" t="s">
        <v>1784</v>
      </c>
      <c r="C1582" s="360" t="s">
        <v>1785</v>
      </c>
      <c r="D1582" s="361" t="s">
        <v>401</v>
      </c>
      <c r="E1582" s="361" t="s">
        <v>37</v>
      </c>
      <c r="F1582" s="362">
        <v>1</v>
      </c>
      <c r="G1582" s="359">
        <f>12535*1.2173</f>
        <v>15258.855500000001</v>
      </c>
      <c r="H1582" s="363">
        <f>F1582*G1582</f>
        <v>15258.855500000001</v>
      </c>
    </row>
    <row r="1583" spans="2:8" ht="63.75">
      <c r="B1583" s="358">
        <v>13354</v>
      </c>
      <c r="C1583" s="93" t="s">
        <v>1786</v>
      </c>
      <c r="D1583" s="94" t="s">
        <v>401</v>
      </c>
      <c r="E1583" s="94" t="s">
        <v>37</v>
      </c>
      <c r="F1583" s="90">
        <v>1</v>
      </c>
      <c r="G1583" s="359">
        <f>276.97*1.2173</f>
        <v>337.15558100000004</v>
      </c>
      <c r="H1583" s="124">
        <f t="shared" ref="H1583:H1594" si="152">F1583*G1583</f>
        <v>337.15558100000004</v>
      </c>
    </row>
    <row r="1584" spans="2:8" ht="38.25">
      <c r="B1584" s="358">
        <v>1879</v>
      </c>
      <c r="C1584" s="93" t="s">
        <v>1787</v>
      </c>
      <c r="D1584" s="94" t="s">
        <v>401</v>
      </c>
      <c r="E1584" s="94" t="s">
        <v>37</v>
      </c>
      <c r="F1584" s="90">
        <v>4</v>
      </c>
      <c r="G1584" s="359">
        <v>3.95</v>
      </c>
      <c r="H1584" s="124">
        <f t="shared" si="152"/>
        <v>15.8</v>
      </c>
    </row>
    <row r="1585" spans="2:8" ht="38.25">
      <c r="B1585" s="358">
        <v>21127</v>
      </c>
      <c r="C1585" s="93" t="s">
        <v>1645</v>
      </c>
      <c r="D1585" s="94" t="s">
        <v>401</v>
      </c>
      <c r="E1585" s="94" t="s">
        <v>37</v>
      </c>
      <c r="F1585" s="90" t="s">
        <v>1342</v>
      </c>
      <c r="G1585" s="359">
        <v>4.3600000000000003</v>
      </c>
      <c r="H1585" s="124">
        <f t="shared" si="152"/>
        <v>2.6160000000000001</v>
      </c>
    </row>
    <row r="1586" spans="2:8" ht="51">
      <c r="B1586" s="358">
        <v>21128</v>
      </c>
      <c r="C1586" s="93" t="s">
        <v>1752</v>
      </c>
      <c r="D1586" s="94" t="s">
        <v>401</v>
      </c>
      <c r="E1586" s="94" t="s">
        <v>15</v>
      </c>
      <c r="F1586" s="90">
        <v>30</v>
      </c>
      <c r="G1586" s="359">
        <v>13.27</v>
      </c>
      <c r="H1586" s="124">
        <f t="shared" si="152"/>
        <v>398.09999999999997</v>
      </c>
    </row>
    <row r="1587" spans="2:8" ht="25.5">
      <c r="B1587" s="358">
        <v>39175</v>
      </c>
      <c r="C1587" s="93" t="s">
        <v>1788</v>
      </c>
      <c r="D1587" s="94" t="s">
        <v>401</v>
      </c>
      <c r="E1587" s="94" t="s">
        <v>37</v>
      </c>
      <c r="F1587" s="90">
        <v>2</v>
      </c>
      <c r="G1587" s="359">
        <v>1.05</v>
      </c>
      <c r="H1587" s="124">
        <f t="shared" si="152"/>
        <v>2.1</v>
      </c>
    </row>
    <row r="1588" spans="2:8" ht="25.5">
      <c r="B1588" s="358">
        <v>39209</v>
      </c>
      <c r="C1588" s="93" t="s">
        <v>1789</v>
      </c>
      <c r="D1588" s="94" t="s">
        <v>401</v>
      </c>
      <c r="E1588" s="94" t="s">
        <v>37</v>
      </c>
      <c r="F1588" s="90">
        <v>2</v>
      </c>
      <c r="G1588" s="359">
        <v>0.54</v>
      </c>
      <c r="H1588" s="124">
        <f t="shared" si="152"/>
        <v>1.08</v>
      </c>
    </row>
    <row r="1589" spans="2:8" ht="25.5">
      <c r="B1589" s="358">
        <v>7588</v>
      </c>
      <c r="C1589" s="93" t="s">
        <v>1621</v>
      </c>
      <c r="D1589" s="94" t="s">
        <v>401</v>
      </c>
      <c r="E1589" s="94" t="s">
        <v>37</v>
      </c>
      <c r="F1589" s="90">
        <v>2</v>
      </c>
      <c r="G1589" s="359">
        <v>55.45</v>
      </c>
      <c r="H1589" s="124">
        <f t="shared" si="152"/>
        <v>110.9</v>
      </c>
    </row>
    <row r="1590" spans="2:8" ht="25.5">
      <c r="B1590" s="358" t="s">
        <v>1355</v>
      </c>
      <c r="C1590" s="93" t="s">
        <v>1356</v>
      </c>
      <c r="D1590" s="94" t="s">
        <v>12</v>
      </c>
      <c r="E1590" s="94" t="s">
        <v>1128</v>
      </c>
      <c r="F1590" s="90">
        <v>16.399999999999999</v>
      </c>
      <c r="G1590" s="359">
        <v>20.5</v>
      </c>
      <c r="H1590" s="124">
        <f t="shared" si="152"/>
        <v>336.2</v>
      </c>
    </row>
    <row r="1591" spans="2:8" ht="25.5">
      <c r="B1591" s="358" t="s">
        <v>1622</v>
      </c>
      <c r="C1591" s="93" t="s">
        <v>1623</v>
      </c>
      <c r="D1591" s="94" t="s">
        <v>12</v>
      </c>
      <c r="E1591" s="94" t="s">
        <v>1128</v>
      </c>
      <c r="F1591" s="90">
        <v>14.2</v>
      </c>
      <c r="G1591" s="359">
        <v>20.43</v>
      </c>
      <c r="H1591" s="124">
        <f t="shared" si="152"/>
        <v>290.10599999999999</v>
      </c>
    </row>
    <row r="1592" spans="2:8" ht="25.5">
      <c r="B1592" s="358" t="s">
        <v>1624</v>
      </c>
      <c r="C1592" s="93" t="s">
        <v>1625</v>
      </c>
      <c r="D1592" s="94" t="s">
        <v>12</v>
      </c>
      <c r="E1592" s="94" t="s">
        <v>1128</v>
      </c>
      <c r="F1592" s="90">
        <v>14.2</v>
      </c>
      <c r="G1592" s="359">
        <v>26.47</v>
      </c>
      <c r="H1592" s="124">
        <f t="shared" si="152"/>
        <v>375.87399999999997</v>
      </c>
    </row>
    <row r="1593" spans="2:8" ht="25.5">
      <c r="B1593" s="358" t="s">
        <v>1619</v>
      </c>
      <c r="C1593" s="93" t="s">
        <v>1620</v>
      </c>
      <c r="D1593" s="94" t="s">
        <v>12</v>
      </c>
      <c r="E1593" s="94" t="s">
        <v>1128</v>
      </c>
      <c r="F1593" s="90">
        <v>12.2</v>
      </c>
      <c r="G1593" s="359">
        <v>27.81</v>
      </c>
      <c r="H1593" s="124">
        <f t="shared" si="152"/>
        <v>339.28199999999998</v>
      </c>
    </row>
    <row r="1594" spans="2:8" ht="38.25">
      <c r="B1594" s="358">
        <v>944</v>
      </c>
      <c r="C1594" s="93" t="s">
        <v>1790</v>
      </c>
      <c r="D1594" s="94" t="s">
        <v>401</v>
      </c>
      <c r="E1594" s="94" t="s">
        <v>15</v>
      </c>
      <c r="F1594" s="90">
        <v>36</v>
      </c>
      <c r="G1594" s="359">
        <v>4.3099999999999996</v>
      </c>
      <c r="H1594" s="124">
        <f t="shared" si="152"/>
        <v>155.16</v>
      </c>
    </row>
    <row r="1595" spans="2:8">
      <c r="B1595" s="717" t="s">
        <v>1231</v>
      </c>
      <c r="C1595" s="718"/>
      <c r="D1595" s="718"/>
      <c r="E1595" s="718"/>
      <c r="F1595" s="718"/>
      <c r="G1595" s="719"/>
      <c r="H1595" s="125">
        <f>SUM(H1582:H1594)</f>
        <v>17623.229081000001</v>
      </c>
    </row>
    <row r="1596" spans="2:8">
      <c r="B1596" s="756"/>
      <c r="C1596" s="757"/>
      <c r="D1596" s="757"/>
      <c r="E1596" s="757"/>
      <c r="F1596" s="757"/>
      <c r="G1596" s="757"/>
      <c r="H1596" s="758"/>
    </row>
    <row r="1597" spans="2:8" ht="25.5">
      <c r="B1597" s="367" t="s">
        <v>2158</v>
      </c>
      <c r="C1597" s="118" t="s">
        <v>1096</v>
      </c>
      <c r="D1597" s="119" t="s">
        <v>12</v>
      </c>
      <c r="E1597" s="119" t="s">
        <v>37</v>
      </c>
      <c r="F1597" s="120"/>
      <c r="G1597" s="121"/>
      <c r="H1597" s="122"/>
    </row>
    <row r="1598" spans="2:8" ht="25.5">
      <c r="B1598" s="358" t="s">
        <v>1791</v>
      </c>
      <c r="C1598" s="93" t="s">
        <v>1792</v>
      </c>
      <c r="D1598" s="94" t="s">
        <v>401</v>
      </c>
      <c r="E1598" s="94" t="s">
        <v>37</v>
      </c>
      <c r="F1598" s="90">
        <v>1</v>
      </c>
      <c r="G1598" s="359">
        <f>12535*1.2173</f>
        <v>15258.855500000001</v>
      </c>
      <c r="H1598" s="124">
        <f>F1598*G1598</f>
        <v>15258.855500000001</v>
      </c>
    </row>
    <row r="1599" spans="2:8" ht="63.75">
      <c r="B1599" s="358">
        <v>13354</v>
      </c>
      <c r="C1599" s="93" t="s">
        <v>1786</v>
      </c>
      <c r="D1599" s="94" t="s">
        <v>401</v>
      </c>
      <c r="E1599" s="94" t="s">
        <v>37</v>
      </c>
      <c r="F1599" s="90">
        <v>1</v>
      </c>
      <c r="G1599" s="359">
        <f>276.97*1.2173</f>
        <v>337.15558100000004</v>
      </c>
      <c r="H1599" s="124">
        <f t="shared" ref="H1599:H1610" si="153">F1599*G1599</f>
        <v>337.15558100000004</v>
      </c>
    </row>
    <row r="1600" spans="2:8" ht="38.25">
      <c r="B1600" s="358">
        <v>1879</v>
      </c>
      <c r="C1600" s="93" t="s">
        <v>1787</v>
      </c>
      <c r="D1600" s="94" t="s">
        <v>401</v>
      </c>
      <c r="E1600" s="94" t="s">
        <v>37</v>
      </c>
      <c r="F1600" s="90">
        <v>4</v>
      </c>
      <c r="G1600" s="359">
        <v>3.95</v>
      </c>
      <c r="H1600" s="124">
        <f t="shared" si="153"/>
        <v>15.8</v>
      </c>
    </row>
    <row r="1601" spans="2:8" ht="38.25">
      <c r="B1601" s="358">
        <v>21127</v>
      </c>
      <c r="C1601" s="93" t="s">
        <v>1645</v>
      </c>
      <c r="D1601" s="94" t="s">
        <v>401</v>
      </c>
      <c r="E1601" s="94" t="s">
        <v>37</v>
      </c>
      <c r="F1601" s="90" t="s">
        <v>1342</v>
      </c>
      <c r="G1601" s="359">
        <v>4.3600000000000003</v>
      </c>
      <c r="H1601" s="124">
        <f t="shared" si="153"/>
        <v>2.6160000000000001</v>
      </c>
    </row>
    <row r="1602" spans="2:8" ht="51">
      <c r="B1602" s="358">
        <v>21128</v>
      </c>
      <c r="C1602" s="93" t="s">
        <v>1752</v>
      </c>
      <c r="D1602" s="94" t="s">
        <v>401</v>
      </c>
      <c r="E1602" s="94" t="s">
        <v>15</v>
      </c>
      <c r="F1602" s="90">
        <v>30</v>
      </c>
      <c r="G1602" s="359">
        <v>13.27</v>
      </c>
      <c r="H1602" s="124">
        <f t="shared" si="153"/>
        <v>398.09999999999997</v>
      </c>
    </row>
    <row r="1603" spans="2:8" ht="25.5">
      <c r="B1603" s="358">
        <v>39175</v>
      </c>
      <c r="C1603" s="93" t="s">
        <v>1788</v>
      </c>
      <c r="D1603" s="94" t="s">
        <v>401</v>
      </c>
      <c r="E1603" s="94" t="s">
        <v>37</v>
      </c>
      <c r="F1603" s="90">
        <v>2</v>
      </c>
      <c r="G1603" s="359">
        <v>1.05</v>
      </c>
      <c r="H1603" s="124">
        <f t="shared" si="153"/>
        <v>2.1</v>
      </c>
    </row>
    <row r="1604" spans="2:8" ht="25.5">
      <c r="B1604" s="358">
        <v>39209</v>
      </c>
      <c r="C1604" s="93" t="s">
        <v>1789</v>
      </c>
      <c r="D1604" s="94" t="s">
        <v>401</v>
      </c>
      <c r="E1604" s="94" t="s">
        <v>37</v>
      </c>
      <c r="F1604" s="90">
        <v>2</v>
      </c>
      <c r="G1604" s="359">
        <v>0.54</v>
      </c>
      <c r="H1604" s="124">
        <f t="shared" si="153"/>
        <v>1.08</v>
      </c>
    </row>
    <row r="1605" spans="2:8" ht="25.5">
      <c r="B1605" s="358">
        <v>7588</v>
      </c>
      <c r="C1605" s="93" t="s">
        <v>1621</v>
      </c>
      <c r="D1605" s="94" t="s">
        <v>401</v>
      </c>
      <c r="E1605" s="94" t="s">
        <v>37</v>
      </c>
      <c r="F1605" s="90">
        <v>2</v>
      </c>
      <c r="G1605" s="359">
        <v>55.45</v>
      </c>
      <c r="H1605" s="124">
        <f t="shared" si="153"/>
        <v>110.9</v>
      </c>
    </row>
    <row r="1606" spans="2:8" ht="25.5">
      <c r="B1606" s="358" t="s">
        <v>1355</v>
      </c>
      <c r="C1606" s="93" t="s">
        <v>1356</v>
      </c>
      <c r="D1606" s="94" t="s">
        <v>12</v>
      </c>
      <c r="E1606" s="94" t="s">
        <v>1128</v>
      </c>
      <c r="F1606" s="90">
        <v>16.399999999999999</v>
      </c>
      <c r="G1606" s="359">
        <v>20.5</v>
      </c>
      <c r="H1606" s="124">
        <f t="shared" si="153"/>
        <v>336.2</v>
      </c>
    </row>
    <row r="1607" spans="2:8" ht="25.5">
      <c r="B1607" s="358" t="s">
        <v>1622</v>
      </c>
      <c r="C1607" s="93" t="s">
        <v>1623</v>
      </c>
      <c r="D1607" s="94" t="s">
        <v>12</v>
      </c>
      <c r="E1607" s="94" t="s">
        <v>1128</v>
      </c>
      <c r="F1607" s="90">
        <v>14.2</v>
      </c>
      <c r="G1607" s="359">
        <v>20.43</v>
      </c>
      <c r="H1607" s="124">
        <f t="shared" si="153"/>
        <v>290.10599999999999</v>
      </c>
    </row>
    <row r="1608" spans="2:8" ht="25.5">
      <c r="B1608" s="358" t="s">
        <v>1624</v>
      </c>
      <c r="C1608" s="93" t="s">
        <v>1625</v>
      </c>
      <c r="D1608" s="94" t="s">
        <v>12</v>
      </c>
      <c r="E1608" s="94" t="s">
        <v>1128</v>
      </c>
      <c r="F1608" s="90">
        <v>14.2</v>
      </c>
      <c r="G1608" s="359">
        <v>26.47</v>
      </c>
      <c r="H1608" s="124">
        <f t="shared" si="153"/>
        <v>375.87399999999997</v>
      </c>
    </row>
    <row r="1609" spans="2:8" ht="25.5">
      <c r="B1609" s="358" t="s">
        <v>1619</v>
      </c>
      <c r="C1609" s="93" t="s">
        <v>1620</v>
      </c>
      <c r="D1609" s="94" t="s">
        <v>12</v>
      </c>
      <c r="E1609" s="94" t="s">
        <v>1128</v>
      </c>
      <c r="F1609" s="90">
        <v>12.2</v>
      </c>
      <c r="G1609" s="359">
        <v>27.81</v>
      </c>
      <c r="H1609" s="124">
        <f t="shared" si="153"/>
        <v>339.28199999999998</v>
      </c>
    </row>
    <row r="1610" spans="2:8" ht="38.25">
      <c r="B1610" s="358">
        <v>944</v>
      </c>
      <c r="C1610" s="93" t="s">
        <v>1790</v>
      </c>
      <c r="D1610" s="94" t="s">
        <v>401</v>
      </c>
      <c r="E1610" s="94" t="s">
        <v>15</v>
      </c>
      <c r="F1610" s="90">
        <v>36</v>
      </c>
      <c r="G1610" s="359">
        <v>4.3099999999999996</v>
      </c>
      <c r="H1610" s="124">
        <f t="shared" si="153"/>
        <v>155.16</v>
      </c>
    </row>
    <row r="1611" spans="2:8">
      <c r="B1611" s="717" t="s">
        <v>1231</v>
      </c>
      <c r="C1611" s="718"/>
      <c r="D1611" s="718"/>
      <c r="E1611" s="718"/>
      <c r="F1611" s="718"/>
      <c r="G1611" s="719"/>
      <c r="H1611" s="125">
        <f>SUM(H1598:H1610)</f>
        <v>17623.229081000001</v>
      </c>
    </row>
    <row r="1612" spans="2:8">
      <c r="B1612" s="756"/>
      <c r="C1612" s="757"/>
      <c r="D1612" s="757"/>
      <c r="E1612" s="757"/>
      <c r="F1612" s="757"/>
      <c r="G1612" s="757"/>
      <c r="H1612" s="758"/>
    </row>
    <row r="1613" spans="2:8" ht="25.5">
      <c r="B1613" s="367" t="s">
        <v>2159</v>
      </c>
      <c r="C1613" s="118" t="s">
        <v>1097</v>
      </c>
      <c r="D1613" s="119" t="s">
        <v>12</v>
      </c>
      <c r="E1613" s="119" t="s">
        <v>37</v>
      </c>
      <c r="F1613" s="120"/>
      <c r="G1613" s="121"/>
      <c r="H1613" s="122"/>
    </row>
    <row r="1614" spans="2:8" ht="63.75">
      <c r="B1614" s="358">
        <v>13354</v>
      </c>
      <c r="C1614" s="93" t="s">
        <v>1786</v>
      </c>
      <c r="D1614" s="94" t="s">
        <v>401</v>
      </c>
      <c r="E1614" s="94" t="s">
        <v>37</v>
      </c>
      <c r="F1614" s="90">
        <v>1</v>
      </c>
      <c r="G1614" s="359">
        <f>276.97*1.2173</f>
        <v>337.15558100000004</v>
      </c>
      <c r="H1614" s="124">
        <f>F1614*G1614</f>
        <v>337.15558100000004</v>
      </c>
    </row>
    <row r="1615" spans="2:8" ht="38.25">
      <c r="B1615" s="358">
        <v>1879</v>
      </c>
      <c r="C1615" s="93" t="s">
        <v>1787</v>
      </c>
      <c r="D1615" s="94" t="s">
        <v>401</v>
      </c>
      <c r="E1615" s="94" t="s">
        <v>37</v>
      </c>
      <c r="F1615" s="90">
        <v>4</v>
      </c>
      <c r="G1615" s="359">
        <v>3.95</v>
      </c>
      <c r="H1615" s="124">
        <f t="shared" ref="H1615:H1626" si="154">F1615*G1615</f>
        <v>15.8</v>
      </c>
    </row>
    <row r="1616" spans="2:8" ht="38.25">
      <c r="B1616" s="358">
        <v>21127</v>
      </c>
      <c r="C1616" s="93" t="s">
        <v>1645</v>
      </c>
      <c r="D1616" s="94" t="s">
        <v>401</v>
      </c>
      <c r="E1616" s="94" t="s">
        <v>37</v>
      </c>
      <c r="F1616" s="90" t="s">
        <v>1342</v>
      </c>
      <c r="G1616" s="359">
        <v>4.3600000000000003</v>
      </c>
      <c r="H1616" s="124">
        <f t="shared" si="154"/>
        <v>2.6160000000000001</v>
      </c>
    </row>
    <row r="1617" spans="2:8" ht="51">
      <c r="B1617" s="358">
        <v>21128</v>
      </c>
      <c r="C1617" s="93" t="s">
        <v>1752</v>
      </c>
      <c r="D1617" s="94" t="s">
        <v>401</v>
      </c>
      <c r="E1617" s="94" t="s">
        <v>15</v>
      </c>
      <c r="F1617" s="90">
        <v>30</v>
      </c>
      <c r="G1617" s="359">
        <v>13.27</v>
      </c>
      <c r="H1617" s="124">
        <f t="shared" si="154"/>
        <v>398.09999999999997</v>
      </c>
    </row>
    <row r="1618" spans="2:8" ht="25.5">
      <c r="B1618" s="358">
        <v>39175</v>
      </c>
      <c r="C1618" s="93" t="s">
        <v>1788</v>
      </c>
      <c r="D1618" s="94" t="s">
        <v>401</v>
      </c>
      <c r="E1618" s="94" t="s">
        <v>37</v>
      </c>
      <c r="F1618" s="90">
        <v>2</v>
      </c>
      <c r="G1618" s="359">
        <v>1.05</v>
      </c>
      <c r="H1618" s="124">
        <f t="shared" si="154"/>
        <v>2.1</v>
      </c>
    </row>
    <row r="1619" spans="2:8" ht="25.5">
      <c r="B1619" s="358">
        <v>39209</v>
      </c>
      <c r="C1619" s="93" t="s">
        <v>1789</v>
      </c>
      <c r="D1619" s="94" t="s">
        <v>401</v>
      </c>
      <c r="E1619" s="94" t="s">
        <v>37</v>
      </c>
      <c r="F1619" s="90">
        <v>2</v>
      </c>
      <c r="G1619" s="359">
        <v>0.54</v>
      </c>
      <c r="H1619" s="124">
        <f t="shared" si="154"/>
        <v>1.08</v>
      </c>
    </row>
    <row r="1620" spans="2:8" ht="63.75">
      <c r="B1620" s="358">
        <v>736</v>
      </c>
      <c r="C1620" s="93" t="s">
        <v>1793</v>
      </c>
      <c r="D1620" s="94" t="s">
        <v>401</v>
      </c>
      <c r="E1620" s="94" t="s">
        <v>37</v>
      </c>
      <c r="F1620" s="90">
        <v>1</v>
      </c>
      <c r="G1620" s="359">
        <v>2647.78</v>
      </c>
      <c r="H1620" s="124">
        <f t="shared" si="154"/>
        <v>2647.78</v>
      </c>
    </row>
    <row r="1621" spans="2:8" ht="25.5">
      <c r="B1621" s="358">
        <v>7588</v>
      </c>
      <c r="C1621" s="93" t="s">
        <v>1621</v>
      </c>
      <c r="D1621" s="94" t="s">
        <v>401</v>
      </c>
      <c r="E1621" s="94" t="s">
        <v>37</v>
      </c>
      <c r="F1621" s="90">
        <v>2</v>
      </c>
      <c r="G1621" s="359">
        <v>55.45</v>
      </c>
      <c r="H1621" s="124">
        <f t="shared" si="154"/>
        <v>110.9</v>
      </c>
    </row>
    <row r="1622" spans="2:8" ht="25.5">
      <c r="B1622" s="358" t="s">
        <v>1355</v>
      </c>
      <c r="C1622" s="93" t="s">
        <v>1356</v>
      </c>
      <c r="D1622" s="94" t="s">
        <v>12</v>
      </c>
      <c r="E1622" s="94" t="s">
        <v>1128</v>
      </c>
      <c r="F1622" s="90">
        <v>1.5</v>
      </c>
      <c r="G1622" s="359">
        <v>20.5</v>
      </c>
      <c r="H1622" s="124">
        <f t="shared" si="154"/>
        <v>30.75</v>
      </c>
    </row>
    <row r="1623" spans="2:8" ht="25.5">
      <c r="B1623" s="358" t="s">
        <v>1622</v>
      </c>
      <c r="C1623" s="93" t="s">
        <v>1623</v>
      </c>
      <c r="D1623" s="94" t="s">
        <v>12</v>
      </c>
      <c r="E1623" s="94" t="s">
        <v>1128</v>
      </c>
      <c r="F1623" s="90">
        <v>2</v>
      </c>
      <c r="G1623" s="359">
        <v>20.43</v>
      </c>
      <c r="H1623" s="124">
        <f t="shared" si="154"/>
        <v>40.86</v>
      </c>
    </row>
    <row r="1624" spans="2:8" ht="25.5">
      <c r="B1624" s="358" t="s">
        <v>1624</v>
      </c>
      <c r="C1624" s="93" t="s">
        <v>1625</v>
      </c>
      <c r="D1624" s="94" t="s">
        <v>12</v>
      </c>
      <c r="E1624" s="94" t="s">
        <v>1128</v>
      </c>
      <c r="F1624" s="90">
        <v>2</v>
      </c>
      <c r="G1624" s="359">
        <v>26.47</v>
      </c>
      <c r="H1624" s="124">
        <f t="shared" si="154"/>
        <v>52.94</v>
      </c>
    </row>
    <row r="1625" spans="2:8" ht="25.5">
      <c r="B1625" s="358" t="s">
        <v>1619</v>
      </c>
      <c r="C1625" s="93" t="s">
        <v>1620</v>
      </c>
      <c r="D1625" s="94" t="s">
        <v>12</v>
      </c>
      <c r="E1625" s="94" t="s">
        <v>1128</v>
      </c>
      <c r="F1625" s="90">
        <v>1.2</v>
      </c>
      <c r="G1625" s="359">
        <v>27.81</v>
      </c>
      <c r="H1625" s="124">
        <f t="shared" si="154"/>
        <v>33.372</v>
      </c>
    </row>
    <row r="1626" spans="2:8" ht="38.25">
      <c r="B1626" s="358">
        <v>944</v>
      </c>
      <c r="C1626" s="93" t="s">
        <v>1790</v>
      </c>
      <c r="D1626" s="94" t="s">
        <v>401</v>
      </c>
      <c r="E1626" s="94" t="s">
        <v>15</v>
      </c>
      <c r="F1626" s="90">
        <v>36</v>
      </c>
      <c r="G1626" s="359">
        <v>4.3099999999999996</v>
      </c>
      <c r="H1626" s="124">
        <f t="shared" si="154"/>
        <v>155.16</v>
      </c>
    </row>
    <row r="1627" spans="2:8">
      <c r="B1627" s="717" t="s">
        <v>1231</v>
      </c>
      <c r="C1627" s="718"/>
      <c r="D1627" s="718"/>
      <c r="E1627" s="718"/>
      <c r="F1627" s="718"/>
      <c r="G1627" s="719"/>
      <c r="H1627" s="125">
        <f>SUM(H1614:H1626)</f>
        <v>3828.6135810000005</v>
      </c>
    </row>
    <row r="1628" spans="2:8">
      <c r="B1628" s="756"/>
      <c r="C1628" s="757"/>
      <c r="D1628" s="757"/>
      <c r="E1628" s="757"/>
      <c r="F1628" s="757"/>
      <c r="G1628" s="757"/>
      <c r="H1628" s="758"/>
    </row>
    <row r="1629" spans="2:8" ht="25.5">
      <c r="B1629" s="367" t="s">
        <v>2160</v>
      </c>
      <c r="C1629" s="118" t="s">
        <v>1100</v>
      </c>
      <c r="D1629" s="119" t="s">
        <v>12</v>
      </c>
      <c r="E1629" s="119" t="s">
        <v>37</v>
      </c>
      <c r="F1629" s="120"/>
      <c r="G1629" s="121"/>
      <c r="H1629" s="122"/>
    </row>
    <row r="1630" spans="2:8">
      <c r="B1630" s="358">
        <v>88248</v>
      </c>
      <c r="C1630" s="360" t="s">
        <v>1242</v>
      </c>
      <c r="D1630" s="361" t="s">
        <v>1228</v>
      </c>
      <c r="E1630" s="361" t="s">
        <v>1128</v>
      </c>
      <c r="F1630" s="362">
        <v>8</v>
      </c>
      <c r="G1630" s="359">
        <v>20.100000000000001</v>
      </c>
      <c r="H1630" s="363">
        <f>F1630*G1630</f>
        <v>160.80000000000001</v>
      </c>
    </row>
    <row r="1631" spans="2:8">
      <c r="B1631" s="358">
        <v>88267</v>
      </c>
      <c r="C1631" s="360" t="s">
        <v>1244</v>
      </c>
      <c r="D1631" s="361" t="s">
        <v>1228</v>
      </c>
      <c r="E1631" s="361" t="s">
        <v>1128</v>
      </c>
      <c r="F1631" s="362">
        <v>8</v>
      </c>
      <c r="G1631" s="359">
        <v>25.58</v>
      </c>
      <c r="H1631" s="363">
        <f t="shared" ref="H1631:H1632" si="155">F1631*G1631</f>
        <v>204.64</v>
      </c>
    </row>
    <row r="1632" spans="2:8" ht="38.25">
      <c r="B1632" s="358" t="s">
        <v>1794</v>
      </c>
      <c r="C1632" s="360" t="s">
        <v>1795</v>
      </c>
      <c r="D1632" s="361" t="s">
        <v>1796</v>
      </c>
      <c r="E1632" s="361" t="s">
        <v>37</v>
      </c>
      <c r="F1632" s="362">
        <v>1</v>
      </c>
      <c r="G1632" s="359">
        <f>2484.13*1.2173</f>
        <v>3023.9314490000002</v>
      </c>
      <c r="H1632" s="363">
        <f t="shared" si="155"/>
        <v>3023.9314490000002</v>
      </c>
    </row>
    <row r="1633" spans="2:8">
      <c r="B1633" s="699" t="s">
        <v>1231</v>
      </c>
      <c r="C1633" s="700"/>
      <c r="D1633" s="700"/>
      <c r="E1633" s="700"/>
      <c r="F1633" s="700"/>
      <c r="G1633" s="701"/>
      <c r="H1633" s="364">
        <f>SUM(H1630:H1632)</f>
        <v>3389.3714490000002</v>
      </c>
    </row>
    <row r="1634" spans="2:8">
      <c r="B1634" s="711"/>
      <c r="C1634" s="712"/>
      <c r="D1634" s="712"/>
      <c r="E1634" s="712"/>
      <c r="F1634" s="712"/>
      <c r="G1634" s="712"/>
      <c r="H1634" s="713"/>
    </row>
    <row r="1635" spans="2:8" ht="25.5">
      <c r="B1635" s="367" t="s">
        <v>2161</v>
      </c>
      <c r="C1635" s="368" t="s">
        <v>1110</v>
      </c>
      <c r="D1635" s="369" t="s">
        <v>12</v>
      </c>
      <c r="E1635" s="369" t="s">
        <v>1111</v>
      </c>
      <c r="F1635" s="370"/>
      <c r="G1635" s="356"/>
      <c r="H1635" s="371"/>
    </row>
    <row r="1636" spans="2:8" ht="25.5">
      <c r="B1636" s="358">
        <v>2705</v>
      </c>
      <c r="C1636" s="360" t="s">
        <v>1797</v>
      </c>
      <c r="D1636" s="361" t="s">
        <v>401</v>
      </c>
      <c r="E1636" s="361" t="s">
        <v>1798</v>
      </c>
      <c r="F1636" s="417">
        <v>3800</v>
      </c>
      <c r="G1636" s="359">
        <v>0.56000000000000005</v>
      </c>
      <c r="H1636" s="363">
        <f>F1636*G1636</f>
        <v>2128</v>
      </c>
    </row>
    <row r="1637" spans="2:8">
      <c r="B1637" s="699" t="s">
        <v>1231</v>
      </c>
      <c r="C1637" s="700"/>
      <c r="D1637" s="700"/>
      <c r="E1637" s="700"/>
      <c r="F1637" s="700"/>
      <c r="G1637" s="701"/>
      <c r="H1637" s="364">
        <f>SUM(H1636)</f>
        <v>2128</v>
      </c>
    </row>
    <row r="1638" spans="2:8">
      <c r="B1638" s="711"/>
      <c r="C1638" s="712"/>
      <c r="D1638" s="712"/>
      <c r="E1638" s="712"/>
      <c r="F1638" s="712"/>
      <c r="G1638" s="712"/>
      <c r="H1638" s="713"/>
    </row>
    <row r="1639" spans="2:8" ht="25.5">
      <c r="B1639" s="367" t="s">
        <v>2162</v>
      </c>
      <c r="C1639" s="368" t="s">
        <v>1112</v>
      </c>
      <c r="D1639" s="369" t="s">
        <v>12</v>
      </c>
      <c r="E1639" s="369" t="s">
        <v>1111</v>
      </c>
      <c r="F1639" s="370"/>
      <c r="G1639" s="356"/>
      <c r="H1639" s="371"/>
    </row>
    <row r="1640" spans="2:8">
      <c r="B1640" s="358" t="s">
        <v>2163</v>
      </c>
      <c r="C1640" s="360" t="s">
        <v>2164</v>
      </c>
      <c r="D1640" s="361" t="s">
        <v>401</v>
      </c>
      <c r="E1640" s="361" t="s">
        <v>75</v>
      </c>
      <c r="F1640" s="362">
        <v>600</v>
      </c>
      <c r="G1640" s="359">
        <v>3.77</v>
      </c>
      <c r="H1640" s="363">
        <f>F1640*G1640</f>
        <v>2262</v>
      </c>
    </row>
    <row r="1641" spans="2:8">
      <c r="B1641" s="699" t="s">
        <v>1231</v>
      </c>
      <c r="C1641" s="700"/>
      <c r="D1641" s="700"/>
      <c r="E1641" s="700"/>
      <c r="F1641" s="700"/>
      <c r="G1641" s="701"/>
      <c r="H1641" s="364">
        <f>SUM(H1640)</f>
        <v>2262</v>
      </c>
    </row>
    <row r="1642" spans="2:8">
      <c r="B1642" s="711"/>
      <c r="C1642" s="712"/>
      <c r="D1642" s="712"/>
      <c r="E1642" s="712"/>
      <c r="F1642" s="712"/>
      <c r="G1642" s="712"/>
      <c r="H1642" s="713"/>
    </row>
    <row r="1643" spans="2:8" ht="25.5">
      <c r="B1643" s="367" t="s">
        <v>2165</v>
      </c>
      <c r="C1643" s="368" t="s">
        <v>55</v>
      </c>
      <c r="D1643" s="369" t="s">
        <v>12</v>
      </c>
      <c r="E1643" s="369" t="s">
        <v>37</v>
      </c>
      <c r="F1643" s="370"/>
      <c r="G1643" s="356"/>
      <c r="H1643" s="371"/>
    </row>
    <row r="1644" spans="2:8">
      <c r="B1644" s="358">
        <v>88248</v>
      </c>
      <c r="C1644" s="360" t="s">
        <v>1242</v>
      </c>
      <c r="D1644" s="361" t="s">
        <v>1228</v>
      </c>
      <c r="E1644" s="361" t="s">
        <v>1128</v>
      </c>
      <c r="F1644" s="362">
        <v>1</v>
      </c>
      <c r="G1644" s="359">
        <v>20.100000000000001</v>
      </c>
      <c r="H1644" s="363">
        <f>F1644*G1644</f>
        <v>20.100000000000001</v>
      </c>
    </row>
    <row r="1645" spans="2:8">
      <c r="B1645" s="358">
        <v>88267</v>
      </c>
      <c r="C1645" s="360" t="s">
        <v>1244</v>
      </c>
      <c r="D1645" s="361" t="s">
        <v>1228</v>
      </c>
      <c r="E1645" s="361" t="s">
        <v>1128</v>
      </c>
      <c r="F1645" s="362">
        <v>1</v>
      </c>
      <c r="G1645" s="359">
        <v>25.58</v>
      </c>
      <c r="H1645" s="363">
        <f t="shared" ref="H1645:H1649" si="156">F1645*G1645</f>
        <v>25.58</v>
      </c>
    </row>
    <row r="1646" spans="2:8">
      <c r="B1646" s="358">
        <v>88316</v>
      </c>
      <c r="C1646" s="360" t="s">
        <v>1246</v>
      </c>
      <c r="D1646" s="361" t="s">
        <v>1228</v>
      </c>
      <c r="E1646" s="361" t="s">
        <v>1128</v>
      </c>
      <c r="F1646" s="362" t="s">
        <v>1279</v>
      </c>
      <c r="G1646" s="359">
        <v>19.39</v>
      </c>
      <c r="H1646" s="363">
        <f t="shared" si="156"/>
        <v>9.6950000000000003</v>
      </c>
    </row>
    <row r="1647" spans="2:8" ht="25.5">
      <c r="B1647" s="358">
        <v>3148</v>
      </c>
      <c r="C1647" s="360" t="s">
        <v>2166</v>
      </c>
      <c r="D1647" s="361" t="s">
        <v>401</v>
      </c>
      <c r="E1647" s="361" t="s">
        <v>37</v>
      </c>
      <c r="F1647" s="362">
        <v>2.8511821E-2</v>
      </c>
      <c r="G1647" s="359">
        <v>15.3</v>
      </c>
      <c r="H1647" s="363">
        <f t="shared" si="156"/>
        <v>0.43623086129999999</v>
      </c>
    </row>
    <row r="1648" spans="2:8" ht="38.25">
      <c r="B1648" s="358" t="s">
        <v>1280</v>
      </c>
      <c r="C1648" s="360" t="s">
        <v>1281</v>
      </c>
      <c r="D1648" s="361" t="s">
        <v>401</v>
      </c>
      <c r="E1648" s="361" t="s">
        <v>15</v>
      </c>
      <c r="F1648" s="362">
        <v>1.05</v>
      </c>
      <c r="G1648" s="359">
        <f>9.98*1.2173</f>
        <v>12.148654000000001</v>
      </c>
      <c r="H1648" s="363">
        <f t="shared" si="156"/>
        <v>12.756086700000001</v>
      </c>
    </row>
    <row r="1649" spans="2:8" ht="25.5">
      <c r="B1649" s="358" t="s">
        <v>1282</v>
      </c>
      <c r="C1649" s="360" t="s">
        <v>1283</v>
      </c>
      <c r="D1649" s="361" t="s">
        <v>12</v>
      </c>
      <c r="E1649" s="361" t="s">
        <v>37</v>
      </c>
      <c r="F1649" s="362">
        <v>1</v>
      </c>
      <c r="G1649" s="359">
        <f>239.09*1.2173</f>
        <v>291.04425700000002</v>
      </c>
      <c r="H1649" s="363">
        <f t="shared" si="156"/>
        <v>291.04425700000002</v>
      </c>
    </row>
    <row r="1650" spans="2:8">
      <c r="B1650" s="699" t="s">
        <v>1231</v>
      </c>
      <c r="C1650" s="700"/>
      <c r="D1650" s="700"/>
      <c r="E1650" s="700"/>
      <c r="F1650" s="700"/>
      <c r="G1650" s="701"/>
      <c r="H1650" s="364">
        <f>SUM(H1644:H1649)</f>
        <v>359.61157456130002</v>
      </c>
    </row>
    <row r="1651" spans="2:8">
      <c r="B1651" s="711"/>
      <c r="C1651" s="712"/>
      <c r="D1651" s="712"/>
      <c r="E1651" s="712"/>
      <c r="F1651" s="712"/>
      <c r="G1651" s="712"/>
      <c r="H1651" s="713"/>
    </row>
    <row r="1652" spans="2:8" ht="38.25">
      <c r="B1652" s="367" t="s">
        <v>2167</v>
      </c>
      <c r="C1652" s="368" t="s">
        <v>1151</v>
      </c>
      <c r="D1652" s="369" t="s">
        <v>12</v>
      </c>
      <c r="E1652" s="369" t="s">
        <v>1152</v>
      </c>
      <c r="F1652" s="370"/>
      <c r="G1652" s="356"/>
      <c r="H1652" s="371"/>
    </row>
    <row r="1653" spans="2:8" ht="89.25">
      <c r="B1653" s="358" t="s">
        <v>1799</v>
      </c>
      <c r="C1653" s="360" t="s">
        <v>1800</v>
      </c>
      <c r="D1653" s="361" t="s">
        <v>12</v>
      </c>
      <c r="E1653" s="361" t="s">
        <v>1291</v>
      </c>
      <c r="F1653" s="362" t="s">
        <v>1739</v>
      </c>
      <c r="G1653" s="359">
        <v>202.81</v>
      </c>
      <c r="H1653" s="363">
        <f>F1653*G1653</f>
        <v>0.91264499999999993</v>
      </c>
    </row>
    <row r="1654" spans="2:8">
      <c r="B1654" s="717" t="s">
        <v>1231</v>
      </c>
      <c r="C1654" s="718"/>
      <c r="D1654" s="718"/>
      <c r="E1654" s="718"/>
      <c r="F1654" s="718"/>
      <c r="G1654" s="719"/>
      <c r="H1654" s="125">
        <f>SUM(H1653)</f>
        <v>0.91264499999999993</v>
      </c>
    </row>
    <row r="1655" spans="2:8">
      <c r="C1655" s="235"/>
      <c r="D1655" s="235"/>
      <c r="E1655" s="235"/>
      <c r="F1655" s="235"/>
      <c r="G1655" s="235"/>
      <c r="H1655" s="235"/>
    </row>
    <row r="1656" spans="2:8">
      <c r="C1656" s="235"/>
      <c r="D1656" s="235"/>
      <c r="E1656" s="235"/>
      <c r="F1656" s="235"/>
      <c r="G1656" s="235"/>
      <c r="H1656" s="235"/>
    </row>
    <row r="1657" spans="2:8">
      <c r="C1657" s="235"/>
      <c r="D1657" s="235"/>
      <c r="E1657" s="235"/>
      <c r="F1657" s="235"/>
      <c r="G1657" s="235"/>
      <c r="H1657" s="235"/>
    </row>
    <row r="1658" spans="2:8">
      <c r="C1658" s="235"/>
      <c r="D1658" s="235"/>
      <c r="E1658" s="235"/>
      <c r="F1658" s="235"/>
      <c r="G1658" s="235"/>
      <c r="H1658" s="235"/>
    </row>
    <row r="1659" spans="2:8">
      <c r="C1659" s="235"/>
      <c r="D1659" s="235"/>
      <c r="E1659" s="235"/>
      <c r="F1659" s="235"/>
      <c r="G1659" s="235"/>
      <c r="H1659" s="235"/>
    </row>
    <row r="1660" spans="2:8">
      <c r="C1660" s="235"/>
      <c r="D1660" s="235"/>
      <c r="E1660" s="235"/>
      <c r="F1660" s="235"/>
      <c r="G1660" s="235"/>
      <c r="H1660" s="235"/>
    </row>
    <row r="1661" spans="2:8">
      <c r="C1661" s="235"/>
      <c r="D1661" s="235"/>
      <c r="E1661" s="235"/>
      <c r="F1661" s="235"/>
      <c r="G1661" s="235"/>
      <c r="H1661" s="235"/>
    </row>
    <row r="1662" spans="2:8">
      <c r="C1662" s="235"/>
      <c r="D1662" s="235"/>
      <c r="E1662" s="235"/>
      <c r="F1662" s="235"/>
      <c r="G1662" s="235"/>
      <c r="H1662" s="235"/>
    </row>
    <row r="1663" spans="2:8">
      <c r="C1663" s="235"/>
      <c r="D1663" s="235"/>
      <c r="E1663" s="235"/>
      <c r="F1663" s="235"/>
      <c r="G1663" s="235"/>
      <c r="H1663" s="235"/>
    </row>
    <row r="1664" spans="2:8">
      <c r="C1664" s="235"/>
      <c r="D1664" s="235"/>
      <c r="E1664" s="235"/>
      <c r="F1664" s="235"/>
      <c r="G1664" s="235"/>
      <c r="H1664" s="235"/>
    </row>
    <row r="1665" spans="3:8">
      <c r="C1665" s="235"/>
      <c r="D1665" s="235"/>
      <c r="E1665" s="235"/>
      <c r="F1665" s="235"/>
      <c r="G1665" s="235"/>
      <c r="H1665" s="235"/>
    </row>
    <row r="1666" spans="3:8">
      <c r="C1666" s="235"/>
      <c r="D1666" s="235"/>
      <c r="E1666" s="235"/>
      <c r="F1666" s="235"/>
      <c r="G1666" s="235"/>
      <c r="H1666" s="235"/>
    </row>
    <row r="1667" spans="3:8">
      <c r="C1667" s="235"/>
      <c r="D1667" s="235"/>
      <c r="E1667" s="235"/>
      <c r="F1667" s="235"/>
      <c r="G1667" s="235"/>
      <c r="H1667" s="235"/>
    </row>
    <row r="1668" spans="3:8">
      <c r="C1668" s="235"/>
      <c r="D1668" s="235"/>
      <c r="E1668" s="235"/>
      <c r="F1668" s="235"/>
      <c r="G1668" s="235"/>
      <c r="H1668" s="235"/>
    </row>
    <row r="1669" spans="3:8">
      <c r="C1669" s="235"/>
      <c r="D1669" s="235"/>
      <c r="E1669" s="235"/>
      <c r="F1669" s="235"/>
      <c r="G1669" s="235"/>
      <c r="H1669" s="235"/>
    </row>
    <row r="1670" spans="3:8">
      <c r="C1670" s="235"/>
      <c r="D1670" s="235"/>
      <c r="E1670" s="235"/>
      <c r="F1670" s="235"/>
      <c r="G1670" s="235"/>
      <c r="H1670" s="235"/>
    </row>
    <row r="1671" spans="3:8">
      <c r="C1671" s="235"/>
      <c r="D1671" s="235"/>
      <c r="E1671" s="235"/>
      <c r="F1671" s="235"/>
      <c r="G1671" s="235"/>
      <c r="H1671" s="235"/>
    </row>
    <row r="1672" spans="3:8">
      <c r="C1672" s="235"/>
      <c r="D1672" s="235"/>
      <c r="E1672" s="235"/>
      <c r="F1672" s="235"/>
      <c r="G1672" s="235"/>
      <c r="H1672" s="235"/>
    </row>
    <row r="1673" spans="3:8">
      <c r="C1673" s="235"/>
      <c r="D1673" s="235"/>
      <c r="E1673" s="235"/>
      <c r="F1673" s="235"/>
      <c r="G1673" s="235"/>
      <c r="H1673" s="235"/>
    </row>
    <row r="1674" spans="3:8">
      <c r="C1674" s="235"/>
      <c r="D1674" s="235"/>
      <c r="E1674" s="235"/>
      <c r="F1674" s="235"/>
      <c r="G1674" s="235"/>
      <c r="H1674" s="235"/>
    </row>
    <row r="1675" spans="3:8">
      <c r="C1675" s="235"/>
      <c r="D1675" s="235"/>
      <c r="E1675" s="235"/>
      <c r="F1675" s="235"/>
      <c r="G1675" s="235"/>
      <c r="H1675" s="235"/>
    </row>
    <row r="1676" spans="3:8">
      <c r="C1676" s="235"/>
      <c r="D1676" s="235"/>
      <c r="E1676" s="235"/>
      <c r="F1676" s="235"/>
      <c r="G1676" s="235"/>
      <c r="H1676" s="235"/>
    </row>
    <row r="1677" spans="3:8">
      <c r="C1677" s="235"/>
      <c r="D1677" s="235"/>
      <c r="E1677" s="235"/>
      <c r="F1677" s="235"/>
      <c r="G1677" s="235"/>
      <c r="H1677" s="235"/>
    </row>
    <row r="1678" spans="3:8">
      <c r="C1678" s="235"/>
      <c r="D1678" s="235"/>
      <c r="E1678" s="235"/>
      <c r="F1678" s="235"/>
      <c r="G1678" s="235"/>
      <c r="H1678" s="235"/>
    </row>
    <row r="1679" spans="3:8">
      <c r="C1679" s="235"/>
      <c r="D1679" s="235"/>
      <c r="E1679" s="235"/>
      <c r="F1679" s="235"/>
      <c r="G1679" s="235"/>
      <c r="H1679" s="235"/>
    </row>
    <row r="1680" spans="3:8">
      <c r="C1680" s="235"/>
      <c r="D1680" s="235"/>
      <c r="E1680" s="235"/>
      <c r="F1680" s="235"/>
      <c r="G1680" s="235"/>
      <c r="H1680" s="235"/>
    </row>
    <row r="1681" spans="3:8">
      <c r="C1681" s="235"/>
      <c r="D1681" s="235"/>
      <c r="E1681" s="235"/>
      <c r="F1681" s="235"/>
      <c r="G1681" s="235"/>
      <c r="H1681" s="235"/>
    </row>
    <row r="1682" spans="3:8">
      <c r="C1682" s="235"/>
      <c r="D1682" s="235"/>
      <c r="E1682" s="235"/>
      <c r="F1682" s="235"/>
      <c r="G1682" s="235"/>
      <c r="H1682" s="235"/>
    </row>
    <row r="1683" spans="3:8">
      <c r="C1683" s="235"/>
      <c r="D1683" s="235"/>
      <c r="E1683" s="235"/>
      <c r="F1683" s="235"/>
      <c r="G1683" s="235"/>
      <c r="H1683" s="235"/>
    </row>
    <row r="1684" spans="3:8">
      <c r="C1684" s="235"/>
      <c r="D1684" s="235"/>
      <c r="E1684" s="235"/>
      <c r="F1684" s="235"/>
      <c r="G1684" s="235"/>
      <c r="H1684" s="235"/>
    </row>
    <row r="1685" spans="3:8">
      <c r="C1685" s="235"/>
      <c r="D1685" s="235"/>
      <c r="E1685" s="235"/>
      <c r="F1685" s="235"/>
      <c r="G1685" s="235"/>
      <c r="H1685" s="235"/>
    </row>
    <row r="1686" spans="3:8">
      <c r="C1686" s="235"/>
      <c r="D1686" s="235"/>
      <c r="E1686" s="235"/>
      <c r="F1686" s="235"/>
      <c r="G1686" s="235"/>
      <c r="H1686" s="235"/>
    </row>
    <row r="1687" spans="3:8">
      <c r="C1687" s="235"/>
      <c r="D1687" s="235"/>
      <c r="E1687" s="235"/>
      <c r="F1687" s="235"/>
      <c r="G1687" s="235"/>
      <c r="H1687" s="235"/>
    </row>
    <row r="1688" spans="3:8">
      <c r="C1688" s="235"/>
      <c r="D1688" s="235"/>
      <c r="E1688" s="235"/>
      <c r="F1688" s="235"/>
      <c r="G1688" s="235"/>
      <c r="H1688" s="235"/>
    </row>
    <row r="1689" spans="3:8">
      <c r="C1689" s="235"/>
      <c r="D1689" s="235"/>
      <c r="E1689" s="235"/>
      <c r="F1689" s="235"/>
      <c r="G1689" s="235"/>
      <c r="H1689" s="235"/>
    </row>
    <row r="1690" spans="3:8">
      <c r="C1690" s="235"/>
      <c r="D1690" s="235"/>
      <c r="E1690" s="235"/>
      <c r="F1690" s="235"/>
      <c r="G1690" s="235"/>
      <c r="H1690" s="235"/>
    </row>
    <row r="1691" spans="3:8">
      <c r="C1691" s="235"/>
      <c r="D1691" s="235"/>
      <c r="E1691" s="235"/>
      <c r="F1691" s="235"/>
      <c r="G1691" s="235"/>
      <c r="H1691" s="235"/>
    </row>
    <row r="1692" spans="3:8">
      <c r="C1692" s="235"/>
      <c r="D1692" s="235"/>
      <c r="E1692" s="235"/>
      <c r="F1692" s="235"/>
      <c r="G1692" s="235"/>
      <c r="H1692" s="235"/>
    </row>
    <row r="1693" spans="3:8">
      <c r="C1693" s="235"/>
      <c r="D1693" s="235"/>
      <c r="E1693" s="235"/>
      <c r="F1693" s="235"/>
      <c r="G1693" s="235"/>
      <c r="H1693" s="235"/>
    </row>
    <row r="1694" spans="3:8">
      <c r="C1694" s="235"/>
      <c r="D1694" s="235"/>
      <c r="E1694" s="235"/>
      <c r="F1694" s="235"/>
      <c r="G1694" s="235"/>
      <c r="H1694" s="235"/>
    </row>
    <row r="1695" spans="3:8">
      <c r="C1695" s="235"/>
      <c r="D1695" s="235"/>
      <c r="E1695" s="235"/>
      <c r="F1695" s="235"/>
      <c r="G1695" s="235"/>
      <c r="H1695" s="235"/>
    </row>
    <row r="1696" spans="3:8">
      <c r="C1696" s="235"/>
      <c r="D1696" s="235"/>
      <c r="E1696" s="235"/>
      <c r="F1696" s="235"/>
      <c r="G1696" s="235"/>
      <c r="H1696" s="235"/>
    </row>
    <row r="1697" spans="3:8">
      <c r="C1697" s="235"/>
      <c r="D1697" s="235"/>
      <c r="E1697" s="235"/>
      <c r="F1697" s="235"/>
      <c r="G1697" s="235"/>
      <c r="H1697" s="235"/>
    </row>
    <row r="1698" spans="3:8">
      <c r="C1698" s="235"/>
      <c r="D1698" s="235"/>
      <c r="E1698" s="235"/>
      <c r="F1698" s="235"/>
      <c r="G1698" s="235"/>
      <c r="H1698" s="235"/>
    </row>
    <row r="1699" spans="3:8">
      <c r="C1699" s="235"/>
      <c r="D1699" s="235"/>
      <c r="E1699" s="235"/>
      <c r="F1699" s="235"/>
      <c r="G1699" s="235"/>
      <c r="H1699" s="235"/>
    </row>
    <row r="1700" spans="3:8">
      <c r="C1700" s="235"/>
      <c r="D1700" s="235"/>
      <c r="E1700" s="235"/>
      <c r="F1700" s="235"/>
      <c r="G1700" s="235"/>
      <c r="H1700" s="235"/>
    </row>
    <row r="1701" spans="3:8">
      <c r="C1701" s="235"/>
      <c r="D1701" s="235"/>
      <c r="E1701" s="235"/>
      <c r="F1701" s="235"/>
      <c r="G1701" s="235"/>
      <c r="H1701" s="235"/>
    </row>
    <row r="1702" spans="3:8">
      <c r="C1702" s="235"/>
      <c r="D1702" s="235"/>
      <c r="E1702" s="235"/>
      <c r="F1702" s="235"/>
      <c r="G1702" s="235"/>
      <c r="H1702" s="235"/>
    </row>
    <row r="1703" spans="3:8">
      <c r="C1703" s="235"/>
      <c r="D1703" s="235"/>
      <c r="E1703" s="235"/>
      <c r="F1703" s="235"/>
      <c r="G1703" s="235"/>
      <c r="H1703" s="235"/>
    </row>
    <row r="1704" spans="3:8">
      <c r="C1704" s="235"/>
      <c r="D1704" s="235"/>
      <c r="E1704" s="235"/>
      <c r="F1704" s="235"/>
      <c r="G1704" s="235"/>
      <c r="H1704" s="235"/>
    </row>
    <row r="1705" spans="3:8">
      <c r="C1705" s="235"/>
      <c r="D1705" s="235"/>
      <c r="E1705" s="235"/>
      <c r="F1705" s="235"/>
      <c r="G1705" s="235"/>
      <c r="H1705" s="235"/>
    </row>
    <row r="1706" spans="3:8">
      <c r="C1706" s="235"/>
      <c r="D1706" s="235"/>
      <c r="E1706" s="235"/>
      <c r="F1706" s="235"/>
      <c r="G1706" s="235"/>
      <c r="H1706" s="235"/>
    </row>
    <row r="1707" spans="3:8">
      <c r="C1707" s="235"/>
      <c r="D1707" s="235"/>
      <c r="E1707" s="235"/>
      <c r="F1707" s="235"/>
      <c r="G1707" s="235"/>
      <c r="H1707" s="235"/>
    </row>
    <row r="1708" spans="3:8">
      <c r="C1708" s="235"/>
      <c r="D1708" s="235"/>
      <c r="E1708" s="235"/>
      <c r="F1708" s="235"/>
      <c r="G1708" s="235"/>
      <c r="H1708" s="235"/>
    </row>
    <row r="1709" spans="3:8">
      <c r="C1709" s="235"/>
      <c r="D1709" s="235"/>
      <c r="E1709" s="235"/>
      <c r="F1709" s="235"/>
      <c r="G1709" s="235"/>
      <c r="H1709" s="235"/>
    </row>
    <row r="1710" spans="3:8">
      <c r="C1710" s="235"/>
      <c r="D1710" s="235"/>
      <c r="E1710" s="235"/>
      <c r="F1710" s="235"/>
      <c r="G1710" s="235"/>
      <c r="H1710" s="235"/>
    </row>
    <row r="1711" spans="3:8">
      <c r="C1711" s="235"/>
      <c r="D1711" s="235"/>
      <c r="E1711" s="235"/>
      <c r="F1711" s="235"/>
      <c r="G1711" s="235"/>
      <c r="H1711" s="235"/>
    </row>
    <row r="1712" spans="3:8">
      <c r="C1712" s="235"/>
      <c r="D1712" s="235"/>
      <c r="E1712" s="235"/>
      <c r="F1712" s="235"/>
      <c r="G1712" s="235"/>
      <c r="H1712" s="235"/>
    </row>
    <row r="1713" spans="3:8">
      <c r="C1713" s="235"/>
      <c r="D1713" s="235"/>
      <c r="E1713" s="235"/>
      <c r="F1713" s="235"/>
      <c r="G1713" s="235"/>
      <c r="H1713" s="235"/>
    </row>
    <row r="1714" spans="3:8">
      <c r="C1714" s="235"/>
      <c r="D1714" s="235"/>
      <c r="E1714" s="235"/>
      <c r="F1714" s="235"/>
      <c r="G1714" s="235"/>
      <c r="H1714" s="235"/>
    </row>
    <row r="1715" spans="3:8">
      <c r="C1715" s="235"/>
      <c r="D1715" s="235"/>
      <c r="E1715" s="235"/>
      <c r="F1715" s="235"/>
      <c r="G1715" s="235"/>
      <c r="H1715" s="235"/>
    </row>
    <row r="1716" spans="3:8">
      <c r="C1716" s="235"/>
      <c r="D1716" s="235"/>
      <c r="E1716" s="235"/>
      <c r="F1716" s="235"/>
      <c r="G1716" s="235"/>
      <c r="H1716" s="235"/>
    </row>
    <row r="1717" spans="3:8">
      <c r="C1717" s="235"/>
      <c r="D1717" s="235"/>
      <c r="E1717" s="235"/>
      <c r="F1717" s="235"/>
      <c r="G1717" s="235"/>
      <c r="H1717" s="235"/>
    </row>
    <row r="1718" spans="3:8">
      <c r="C1718" s="235"/>
      <c r="D1718" s="235"/>
      <c r="E1718" s="235"/>
      <c r="F1718" s="235"/>
      <c r="G1718" s="235"/>
      <c r="H1718" s="235"/>
    </row>
    <row r="1719" spans="3:8">
      <c r="C1719" s="235"/>
      <c r="D1719" s="235"/>
      <c r="E1719" s="235"/>
      <c r="F1719" s="235"/>
      <c r="G1719" s="235"/>
      <c r="H1719" s="235"/>
    </row>
    <row r="1720" spans="3:8">
      <c r="C1720" s="235"/>
      <c r="D1720" s="235"/>
      <c r="E1720" s="235"/>
      <c r="F1720" s="235"/>
      <c r="G1720" s="235"/>
      <c r="H1720" s="235"/>
    </row>
    <row r="1721" spans="3:8">
      <c r="C1721" s="235"/>
      <c r="D1721" s="235"/>
      <c r="E1721" s="235"/>
      <c r="F1721" s="235"/>
      <c r="G1721" s="235"/>
      <c r="H1721" s="235"/>
    </row>
    <row r="1722" spans="3:8">
      <c r="C1722" s="235"/>
      <c r="D1722" s="235"/>
      <c r="E1722" s="235"/>
      <c r="F1722" s="235"/>
      <c r="G1722" s="235"/>
      <c r="H1722" s="235"/>
    </row>
    <row r="1723" spans="3:8">
      <c r="C1723" s="235"/>
      <c r="D1723" s="235"/>
      <c r="E1723" s="235"/>
      <c r="F1723" s="235"/>
      <c r="G1723" s="235"/>
      <c r="H1723" s="235"/>
    </row>
    <row r="1724" spans="3:8">
      <c r="C1724" s="235"/>
      <c r="D1724" s="235"/>
      <c r="E1724" s="235"/>
      <c r="F1724" s="235"/>
      <c r="G1724" s="235"/>
      <c r="H1724" s="235"/>
    </row>
    <row r="1725" spans="3:8">
      <c r="C1725" s="235"/>
      <c r="D1725" s="235"/>
      <c r="E1725" s="235"/>
      <c r="F1725" s="235"/>
      <c r="G1725" s="235"/>
      <c r="H1725" s="235"/>
    </row>
    <row r="1726" spans="3:8">
      <c r="C1726" s="235"/>
      <c r="D1726" s="235"/>
      <c r="E1726" s="235"/>
      <c r="F1726" s="235"/>
      <c r="G1726" s="235"/>
      <c r="H1726" s="235"/>
    </row>
    <row r="1727" spans="3:8">
      <c r="C1727" s="235"/>
      <c r="D1727" s="235"/>
      <c r="E1727" s="235"/>
      <c r="F1727" s="235"/>
      <c r="G1727" s="235"/>
      <c r="H1727" s="235"/>
    </row>
    <row r="1728" spans="3:8">
      <c r="C1728" s="235"/>
      <c r="D1728" s="235"/>
      <c r="E1728" s="235"/>
      <c r="F1728" s="235"/>
      <c r="G1728" s="235"/>
      <c r="H1728" s="235"/>
    </row>
    <row r="1729" spans="3:8">
      <c r="C1729" s="235"/>
      <c r="D1729" s="235"/>
      <c r="E1729" s="235"/>
      <c r="F1729" s="235"/>
      <c r="G1729" s="235"/>
      <c r="H1729" s="235"/>
    </row>
    <row r="1730" spans="3:8">
      <c r="C1730" s="235"/>
      <c r="D1730" s="235"/>
      <c r="E1730" s="235"/>
      <c r="F1730" s="235"/>
      <c r="G1730" s="235"/>
      <c r="H1730" s="235"/>
    </row>
    <row r="1731" spans="3:8">
      <c r="C1731" s="235"/>
      <c r="D1731" s="235"/>
      <c r="E1731" s="235"/>
      <c r="F1731" s="235"/>
      <c r="G1731" s="235"/>
      <c r="H1731" s="235"/>
    </row>
    <row r="1732" spans="3:8">
      <c r="C1732" s="235"/>
      <c r="D1732" s="235"/>
      <c r="E1732" s="235"/>
      <c r="F1732" s="235"/>
      <c r="G1732" s="235"/>
      <c r="H1732" s="235"/>
    </row>
    <row r="1733" spans="3:8">
      <c r="C1733" s="235"/>
      <c r="D1733" s="235"/>
      <c r="E1733" s="235"/>
      <c r="F1733" s="235"/>
      <c r="G1733" s="235"/>
      <c r="H1733" s="235"/>
    </row>
    <row r="1734" spans="3:8">
      <c r="C1734" s="235"/>
      <c r="D1734" s="235"/>
      <c r="E1734" s="235"/>
      <c r="F1734" s="235"/>
      <c r="G1734" s="235"/>
      <c r="H1734" s="235"/>
    </row>
    <row r="1735" spans="3:8">
      <c r="C1735" s="235"/>
      <c r="D1735" s="235"/>
      <c r="E1735" s="235"/>
      <c r="F1735" s="235"/>
      <c r="G1735" s="235"/>
      <c r="H1735" s="235"/>
    </row>
    <row r="1736" spans="3:8">
      <c r="C1736" s="235"/>
      <c r="D1736" s="235"/>
      <c r="E1736" s="235"/>
      <c r="F1736" s="235"/>
      <c r="G1736" s="235"/>
      <c r="H1736" s="235"/>
    </row>
    <row r="1737" spans="3:8">
      <c r="C1737" s="235"/>
      <c r="D1737" s="235"/>
      <c r="E1737" s="235"/>
      <c r="F1737" s="235"/>
      <c r="G1737" s="235"/>
      <c r="H1737" s="235"/>
    </row>
    <row r="1738" spans="3:8">
      <c r="C1738" s="235"/>
      <c r="D1738" s="235"/>
      <c r="E1738" s="235"/>
      <c r="F1738" s="235"/>
      <c r="G1738" s="235"/>
      <c r="H1738" s="235"/>
    </row>
    <row r="1739" spans="3:8">
      <c r="C1739" s="235"/>
      <c r="D1739" s="235"/>
      <c r="E1739" s="235"/>
      <c r="F1739" s="235"/>
      <c r="G1739" s="235"/>
      <c r="H1739" s="235"/>
    </row>
    <row r="1740" spans="3:8">
      <c r="C1740" s="235"/>
      <c r="D1740" s="235"/>
      <c r="E1740" s="235"/>
      <c r="F1740" s="235"/>
      <c r="G1740" s="235"/>
      <c r="H1740" s="235"/>
    </row>
    <row r="1741" spans="3:8">
      <c r="C1741" s="235"/>
      <c r="D1741" s="235"/>
      <c r="E1741" s="235"/>
      <c r="F1741" s="235"/>
      <c r="G1741" s="235"/>
      <c r="H1741" s="235"/>
    </row>
    <row r="1742" spans="3:8">
      <c r="C1742" s="235"/>
      <c r="D1742" s="235"/>
      <c r="E1742" s="235"/>
      <c r="F1742" s="235"/>
      <c r="G1742" s="235"/>
      <c r="H1742" s="235"/>
    </row>
    <row r="1743" spans="3:8">
      <c r="C1743" s="235"/>
      <c r="D1743" s="235"/>
      <c r="E1743" s="235"/>
      <c r="F1743" s="235"/>
      <c r="G1743" s="235"/>
      <c r="H1743" s="235"/>
    </row>
    <row r="1744" spans="3:8">
      <c r="C1744" s="235"/>
      <c r="D1744" s="235"/>
      <c r="E1744" s="235"/>
      <c r="F1744" s="235"/>
      <c r="G1744" s="235"/>
      <c r="H1744" s="235"/>
    </row>
    <row r="1745" spans="3:8">
      <c r="C1745" s="235"/>
      <c r="D1745" s="235"/>
      <c r="E1745" s="235"/>
      <c r="F1745" s="235"/>
      <c r="G1745" s="235"/>
      <c r="H1745" s="235"/>
    </row>
    <row r="1746" spans="3:8">
      <c r="C1746" s="235"/>
      <c r="D1746" s="235"/>
      <c r="E1746" s="235"/>
      <c r="F1746" s="235"/>
      <c r="G1746" s="235"/>
      <c r="H1746" s="235"/>
    </row>
    <row r="1747" spans="3:8">
      <c r="C1747" s="235"/>
      <c r="D1747" s="235"/>
      <c r="E1747" s="235"/>
      <c r="F1747" s="235"/>
      <c r="G1747" s="235"/>
      <c r="H1747" s="235"/>
    </row>
    <row r="1748" spans="3:8">
      <c r="C1748" s="235"/>
      <c r="D1748" s="235"/>
      <c r="E1748" s="235"/>
      <c r="F1748" s="235"/>
      <c r="G1748" s="235"/>
      <c r="H1748" s="235"/>
    </row>
    <row r="1749" spans="3:8">
      <c r="C1749" s="235"/>
      <c r="D1749" s="235"/>
      <c r="E1749" s="235"/>
      <c r="F1749" s="235"/>
      <c r="G1749" s="235"/>
      <c r="H1749" s="235"/>
    </row>
    <row r="1750" spans="3:8">
      <c r="C1750" s="235"/>
      <c r="D1750" s="235"/>
      <c r="E1750" s="235"/>
      <c r="F1750" s="235"/>
      <c r="G1750" s="235"/>
      <c r="H1750" s="235"/>
    </row>
    <row r="1751" spans="3:8">
      <c r="C1751" s="235"/>
      <c r="D1751" s="235"/>
      <c r="E1751" s="235"/>
      <c r="F1751" s="235"/>
      <c r="G1751" s="235"/>
      <c r="H1751" s="235"/>
    </row>
    <row r="1752" spans="3:8">
      <c r="C1752" s="235"/>
      <c r="D1752" s="235"/>
      <c r="E1752" s="235"/>
      <c r="F1752" s="235"/>
      <c r="G1752" s="235"/>
      <c r="H1752" s="235"/>
    </row>
    <row r="1753" spans="3:8">
      <c r="C1753" s="235"/>
      <c r="D1753" s="235"/>
      <c r="E1753" s="235"/>
      <c r="F1753" s="235"/>
      <c r="G1753" s="235"/>
      <c r="H1753" s="235"/>
    </row>
    <row r="1754" spans="3:8">
      <c r="C1754" s="235"/>
      <c r="D1754" s="235"/>
      <c r="E1754" s="235"/>
      <c r="F1754" s="235"/>
      <c r="G1754" s="235"/>
      <c r="H1754" s="235"/>
    </row>
    <row r="1755" spans="3:8">
      <c r="C1755" s="235"/>
      <c r="D1755" s="235"/>
      <c r="E1755" s="235"/>
      <c r="F1755" s="235"/>
      <c r="G1755" s="235"/>
      <c r="H1755" s="235"/>
    </row>
    <row r="1756" spans="3:8">
      <c r="C1756" s="235"/>
      <c r="D1756" s="235"/>
      <c r="E1756" s="235"/>
      <c r="F1756" s="235"/>
      <c r="G1756" s="235"/>
      <c r="H1756" s="235"/>
    </row>
    <row r="1757" spans="3:8">
      <c r="C1757" s="235"/>
      <c r="D1757" s="235"/>
      <c r="E1757" s="235"/>
      <c r="F1757" s="235"/>
      <c r="G1757" s="235"/>
      <c r="H1757" s="235"/>
    </row>
    <row r="1758" spans="3:8">
      <c r="C1758" s="235"/>
      <c r="D1758" s="235"/>
      <c r="E1758" s="235"/>
      <c r="F1758" s="235"/>
      <c r="G1758" s="235"/>
      <c r="H1758" s="235"/>
    </row>
    <row r="1759" spans="3:8">
      <c r="C1759" s="235"/>
      <c r="D1759" s="235"/>
      <c r="E1759" s="235"/>
      <c r="F1759" s="235"/>
      <c r="G1759" s="235"/>
      <c r="H1759" s="235"/>
    </row>
    <row r="1760" spans="3:8">
      <c r="C1760" s="235"/>
      <c r="D1760" s="235"/>
      <c r="E1760" s="235"/>
      <c r="F1760" s="235"/>
      <c r="G1760" s="235"/>
      <c r="H1760" s="235"/>
    </row>
    <row r="1761" spans="3:8">
      <c r="C1761" s="235"/>
      <c r="D1761" s="235"/>
      <c r="E1761" s="235"/>
      <c r="F1761" s="235"/>
      <c r="G1761" s="235"/>
      <c r="H1761" s="235"/>
    </row>
    <row r="1762" spans="3:8">
      <c r="C1762" s="235"/>
      <c r="D1762" s="235"/>
      <c r="E1762" s="235"/>
      <c r="F1762" s="235"/>
      <c r="G1762" s="235"/>
      <c r="H1762" s="235"/>
    </row>
    <row r="1763" spans="3:8">
      <c r="C1763" s="235"/>
      <c r="D1763" s="235"/>
      <c r="E1763" s="235"/>
      <c r="F1763" s="235"/>
      <c r="G1763" s="235"/>
      <c r="H1763" s="235"/>
    </row>
    <row r="1764" spans="3:8">
      <c r="C1764" s="235"/>
      <c r="D1764" s="235"/>
      <c r="E1764" s="235"/>
      <c r="F1764" s="235"/>
      <c r="G1764" s="235"/>
      <c r="H1764" s="235"/>
    </row>
    <row r="1765" spans="3:8">
      <c r="C1765" s="235"/>
      <c r="D1765" s="235"/>
      <c r="E1765" s="235"/>
      <c r="F1765" s="235"/>
      <c r="G1765" s="235"/>
      <c r="H1765" s="235"/>
    </row>
    <row r="1766" spans="3:8">
      <c r="C1766" s="235"/>
      <c r="D1766" s="235"/>
      <c r="E1766" s="235"/>
      <c r="F1766" s="235"/>
      <c r="G1766" s="235"/>
      <c r="H1766" s="235"/>
    </row>
    <row r="1767" spans="3:8">
      <c r="C1767" s="235"/>
      <c r="D1767" s="235"/>
      <c r="E1767" s="235"/>
      <c r="F1767" s="235"/>
      <c r="G1767" s="235"/>
      <c r="H1767" s="235"/>
    </row>
    <row r="1768" spans="3:8">
      <c r="C1768" s="235"/>
      <c r="D1768" s="235"/>
      <c r="E1768" s="235"/>
      <c r="F1768" s="235"/>
      <c r="G1768" s="235"/>
      <c r="H1768" s="235"/>
    </row>
    <row r="1769" spans="3:8">
      <c r="C1769" s="235"/>
      <c r="D1769" s="235"/>
      <c r="E1769" s="235"/>
      <c r="F1769" s="235"/>
      <c r="G1769" s="235"/>
      <c r="H1769" s="235"/>
    </row>
    <row r="1770" spans="3:8">
      <c r="C1770" s="235"/>
      <c r="D1770" s="235"/>
      <c r="E1770" s="235"/>
      <c r="F1770" s="235"/>
      <c r="G1770" s="235"/>
      <c r="H1770" s="235"/>
    </row>
    <row r="1771" spans="3:8">
      <c r="C1771" s="235"/>
      <c r="D1771" s="235"/>
      <c r="E1771" s="235"/>
      <c r="F1771" s="235"/>
      <c r="G1771" s="235"/>
      <c r="H1771" s="235"/>
    </row>
    <row r="1772" spans="3:8">
      <c r="C1772" s="235"/>
      <c r="D1772" s="235"/>
      <c r="E1772" s="235"/>
      <c r="F1772" s="235"/>
      <c r="G1772" s="235"/>
      <c r="H1772" s="235"/>
    </row>
    <row r="1773" spans="3:8">
      <c r="C1773" s="235"/>
      <c r="D1773" s="235"/>
      <c r="E1773" s="235"/>
      <c r="F1773" s="235"/>
      <c r="G1773" s="235"/>
      <c r="H1773" s="235"/>
    </row>
    <row r="1774" spans="3:8">
      <c r="C1774" s="235"/>
      <c r="D1774" s="235"/>
      <c r="E1774" s="235"/>
      <c r="F1774" s="235"/>
      <c r="G1774" s="235"/>
      <c r="H1774" s="235"/>
    </row>
    <row r="1775" spans="3:8">
      <c r="C1775" s="235"/>
      <c r="D1775" s="235"/>
      <c r="E1775" s="235"/>
      <c r="F1775" s="235"/>
      <c r="G1775" s="235"/>
      <c r="H1775" s="235"/>
    </row>
    <row r="1776" spans="3:8">
      <c r="C1776" s="235"/>
      <c r="D1776" s="235"/>
      <c r="E1776" s="235"/>
      <c r="F1776" s="235"/>
      <c r="G1776" s="235"/>
      <c r="H1776" s="235"/>
    </row>
    <row r="1777" spans="3:8">
      <c r="C1777" s="235"/>
      <c r="D1777" s="235"/>
      <c r="E1777" s="235"/>
      <c r="F1777" s="235"/>
      <c r="G1777" s="235"/>
      <c r="H1777" s="235"/>
    </row>
    <row r="1778" spans="3:8">
      <c r="C1778" s="235"/>
      <c r="D1778" s="235"/>
      <c r="E1778" s="235"/>
      <c r="F1778" s="235"/>
      <c r="G1778" s="235"/>
      <c r="H1778" s="235"/>
    </row>
    <row r="1779" spans="3:8">
      <c r="C1779" s="235"/>
      <c r="D1779" s="235"/>
      <c r="E1779" s="235"/>
      <c r="F1779" s="235"/>
      <c r="G1779" s="235"/>
      <c r="H1779" s="235"/>
    </row>
    <row r="1780" spans="3:8">
      <c r="C1780" s="235"/>
      <c r="D1780" s="235"/>
      <c r="E1780" s="235"/>
      <c r="F1780" s="235"/>
      <c r="G1780" s="235"/>
      <c r="H1780" s="235"/>
    </row>
    <row r="1781" spans="3:8">
      <c r="C1781" s="235"/>
      <c r="D1781" s="235"/>
      <c r="E1781" s="235"/>
      <c r="F1781" s="235"/>
      <c r="G1781" s="235"/>
      <c r="H1781" s="235"/>
    </row>
    <row r="1782" spans="3:8">
      <c r="C1782" s="235"/>
      <c r="D1782" s="235"/>
      <c r="E1782" s="235"/>
      <c r="F1782" s="235"/>
      <c r="G1782" s="235"/>
      <c r="H1782" s="235"/>
    </row>
    <row r="1783" spans="3:8">
      <c r="C1783" s="235"/>
      <c r="D1783" s="235"/>
      <c r="E1783" s="235"/>
      <c r="F1783" s="235"/>
      <c r="G1783" s="235"/>
      <c r="H1783" s="235"/>
    </row>
    <row r="1784" spans="3:8">
      <c r="C1784" s="235"/>
      <c r="D1784" s="235"/>
      <c r="E1784" s="235"/>
      <c r="F1784" s="235"/>
      <c r="G1784" s="235"/>
      <c r="H1784" s="235"/>
    </row>
    <row r="1785" spans="3:8">
      <c r="C1785" s="235"/>
      <c r="D1785" s="235"/>
      <c r="E1785" s="235"/>
      <c r="F1785" s="235"/>
      <c r="G1785" s="235"/>
      <c r="H1785" s="235"/>
    </row>
    <row r="1786" spans="3:8">
      <c r="C1786" s="235"/>
      <c r="D1786" s="235"/>
      <c r="E1786" s="235"/>
      <c r="F1786" s="235"/>
      <c r="G1786" s="235"/>
      <c r="H1786" s="235"/>
    </row>
    <row r="1787" spans="3:8">
      <c r="C1787" s="235"/>
      <c r="D1787" s="235"/>
      <c r="E1787" s="235"/>
      <c r="F1787" s="235"/>
      <c r="G1787" s="235"/>
      <c r="H1787" s="235"/>
    </row>
    <row r="1788" spans="3:8">
      <c r="C1788" s="235"/>
      <c r="D1788" s="235"/>
      <c r="E1788" s="235"/>
      <c r="F1788" s="235"/>
      <c r="G1788" s="235"/>
      <c r="H1788" s="235"/>
    </row>
    <row r="1789" spans="3:8">
      <c r="C1789" s="235"/>
      <c r="D1789" s="235"/>
      <c r="E1789" s="235"/>
      <c r="F1789" s="235"/>
      <c r="G1789" s="235"/>
      <c r="H1789" s="235"/>
    </row>
    <row r="1790" spans="3:8">
      <c r="C1790" s="235"/>
      <c r="D1790" s="235"/>
      <c r="E1790" s="235"/>
      <c r="F1790" s="235"/>
      <c r="G1790" s="235"/>
      <c r="H1790" s="235"/>
    </row>
    <row r="1791" spans="3:8">
      <c r="C1791" s="235"/>
      <c r="D1791" s="235"/>
      <c r="E1791" s="235"/>
      <c r="F1791" s="235"/>
      <c r="G1791" s="235"/>
      <c r="H1791" s="235"/>
    </row>
    <row r="1792" spans="3:8">
      <c r="C1792" s="235"/>
      <c r="D1792" s="235"/>
      <c r="E1792" s="235"/>
      <c r="F1792" s="235"/>
      <c r="G1792" s="235"/>
      <c r="H1792" s="235"/>
    </row>
    <row r="1793" spans="3:8">
      <c r="C1793" s="235"/>
      <c r="D1793" s="235"/>
      <c r="E1793" s="235"/>
      <c r="F1793" s="235"/>
      <c r="G1793" s="235"/>
      <c r="H1793" s="235"/>
    </row>
    <row r="1794" spans="3:8">
      <c r="C1794" s="235"/>
      <c r="D1794" s="235"/>
      <c r="E1794" s="235"/>
      <c r="F1794" s="235"/>
      <c r="G1794" s="235"/>
      <c r="H1794" s="235"/>
    </row>
    <row r="1795" spans="3:8">
      <c r="C1795" s="235"/>
      <c r="D1795" s="235"/>
      <c r="E1795" s="235"/>
      <c r="F1795" s="235"/>
      <c r="G1795" s="235"/>
      <c r="H1795" s="235"/>
    </row>
    <row r="1796" spans="3:8">
      <c r="C1796" s="235"/>
      <c r="D1796" s="235"/>
      <c r="E1796" s="235"/>
      <c r="F1796" s="235"/>
      <c r="G1796" s="235"/>
      <c r="H1796" s="235"/>
    </row>
    <row r="1797" spans="3:8">
      <c r="C1797" s="235"/>
      <c r="D1797" s="235"/>
      <c r="E1797" s="235"/>
      <c r="F1797" s="235"/>
      <c r="G1797" s="235"/>
      <c r="H1797" s="235"/>
    </row>
    <row r="1798" spans="3:8">
      <c r="C1798" s="235"/>
      <c r="D1798" s="235"/>
      <c r="E1798" s="235"/>
      <c r="F1798" s="235"/>
      <c r="G1798" s="235"/>
      <c r="H1798" s="235"/>
    </row>
    <row r="1799" spans="3:8">
      <c r="C1799" s="235"/>
      <c r="D1799" s="235"/>
      <c r="E1799" s="235"/>
      <c r="F1799" s="235"/>
      <c r="G1799" s="235"/>
      <c r="H1799" s="235"/>
    </row>
    <row r="1800" spans="3:8">
      <c r="C1800" s="235"/>
      <c r="D1800" s="235"/>
      <c r="E1800" s="235"/>
      <c r="F1800" s="235"/>
      <c r="G1800" s="235"/>
      <c r="H1800" s="235"/>
    </row>
    <row r="1801" spans="3:8">
      <c r="C1801" s="235"/>
      <c r="D1801" s="235"/>
      <c r="E1801" s="235"/>
      <c r="F1801" s="235"/>
      <c r="G1801" s="235"/>
      <c r="H1801" s="235"/>
    </row>
    <row r="1802" spans="3:8">
      <c r="C1802" s="235"/>
      <c r="D1802" s="235"/>
      <c r="E1802" s="235"/>
      <c r="F1802" s="235"/>
      <c r="G1802" s="235"/>
      <c r="H1802" s="235"/>
    </row>
    <row r="1803" spans="3:8">
      <c r="C1803" s="235"/>
      <c r="D1803" s="235"/>
      <c r="E1803" s="235"/>
      <c r="F1803" s="235"/>
      <c r="G1803" s="235"/>
      <c r="H1803" s="235"/>
    </row>
    <row r="1804" spans="3:8">
      <c r="C1804" s="235"/>
      <c r="D1804" s="235"/>
      <c r="E1804" s="235"/>
      <c r="F1804" s="235"/>
      <c r="G1804" s="235"/>
      <c r="H1804" s="235"/>
    </row>
    <row r="1805" spans="3:8">
      <c r="C1805" s="235"/>
      <c r="D1805" s="235"/>
      <c r="E1805" s="235"/>
      <c r="F1805" s="235"/>
      <c r="G1805" s="235"/>
      <c r="H1805" s="235"/>
    </row>
    <row r="1806" spans="3:8">
      <c r="C1806" s="235"/>
      <c r="D1806" s="235"/>
      <c r="E1806" s="235"/>
      <c r="F1806" s="235"/>
      <c r="G1806" s="235"/>
      <c r="H1806" s="235"/>
    </row>
    <row r="1807" spans="3:8">
      <c r="C1807" s="235"/>
      <c r="D1807" s="235"/>
      <c r="E1807" s="235"/>
      <c r="F1807" s="235"/>
      <c r="G1807" s="235"/>
      <c r="H1807" s="235"/>
    </row>
    <row r="1808" spans="3:8">
      <c r="C1808" s="235"/>
      <c r="D1808" s="235"/>
      <c r="E1808" s="235"/>
      <c r="F1808" s="235"/>
      <c r="G1808" s="235"/>
      <c r="H1808" s="235"/>
    </row>
    <row r="1809" spans="3:8">
      <c r="C1809" s="235"/>
      <c r="D1809" s="235"/>
      <c r="E1809" s="235"/>
      <c r="F1809" s="235"/>
      <c r="G1809" s="235"/>
      <c r="H1809" s="235"/>
    </row>
    <row r="1810" spans="3:8">
      <c r="C1810" s="235"/>
      <c r="D1810" s="235"/>
      <c r="E1810" s="235"/>
      <c r="F1810" s="235"/>
      <c r="G1810" s="235"/>
      <c r="H1810" s="235"/>
    </row>
    <row r="1811" spans="3:8">
      <c r="C1811" s="235"/>
      <c r="D1811" s="235"/>
      <c r="E1811" s="235"/>
      <c r="F1811" s="235"/>
      <c r="G1811" s="235"/>
      <c r="H1811" s="235"/>
    </row>
    <row r="1812" spans="3:8">
      <c r="C1812" s="235"/>
      <c r="D1812" s="235"/>
      <c r="E1812" s="235"/>
      <c r="F1812" s="235"/>
      <c r="G1812" s="235"/>
      <c r="H1812" s="235"/>
    </row>
    <row r="1813" spans="3:8">
      <c r="C1813" s="235"/>
      <c r="D1813" s="235"/>
      <c r="E1813" s="235"/>
      <c r="F1813" s="235"/>
      <c r="G1813" s="235"/>
      <c r="H1813" s="235"/>
    </row>
    <row r="1814" spans="3:8">
      <c r="C1814" s="235"/>
      <c r="D1814" s="235"/>
      <c r="E1814" s="235"/>
      <c r="F1814" s="235"/>
      <c r="G1814" s="235"/>
      <c r="H1814" s="235"/>
    </row>
    <row r="1815" spans="3:8">
      <c r="C1815" s="235"/>
      <c r="D1815" s="235"/>
      <c r="E1815" s="235"/>
      <c r="F1815" s="235"/>
      <c r="G1815" s="235"/>
      <c r="H1815" s="235"/>
    </row>
    <row r="1816" spans="3:8">
      <c r="C1816" s="235"/>
      <c r="D1816" s="235"/>
      <c r="E1816" s="235"/>
      <c r="F1816" s="235"/>
      <c r="G1816" s="235"/>
      <c r="H1816" s="235"/>
    </row>
    <row r="1817" spans="3:8">
      <c r="C1817" s="235"/>
      <c r="D1817" s="235"/>
      <c r="E1817" s="235"/>
      <c r="F1817" s="235"/>
      <c r="G1817" s="235"/>
      <c r="H1817" s="235"/>
    </row>
    <row r="1818" spans="3:8">
      <c r="C1818" s="235"/>
      <c r="D1818" s="235"/>
      <c r="E1818" s="235"/>
      <c r="F1818" s="235"/>
      <c r="G1818" s="235"/>
      <c r="H1818" s="235"/>
    </row>
    <row r="1819" spans="3:8">
      <c r="C1819" s="235"/>
      <c r="D1819" s="235"/>
      <c r="E1819" s="235"/>
      <c r="F1819" s="235"/>
      <c r="G1819" s="235"/>
      <c r="H1819" s="235"/>
    </row>
    <row r="1820" spans="3:8">
      <c r="C1820" s="235"/>
      <c r="D1820" s="235"/>
      <c r="E1820" s="235"/>
      <c r="F1820" s="235"/>
      <c r="G1820" s="235"/>
      <c r="H1820" s="235"/>
    </row>
    <row r="1821" spans="3:8">
      <c r="C1821" s="235"/>
      <c r="D1821" s="235"/>
      <c r="E1821" s="235"/>
      <c r="F1821" s="235"/>
      <c r="G1821" s="235"/>
      <c r="H1821" s="235"/>
    </row>
    <row r="1822" spans="3:8">
      <c r="C1822" s="235"/>
      <c r="D1822" s="235"/>
      <c r="E1822" s="235"/>
      <c r="F1822" s="235"/>
      <c r="G1822" s="235"/>
      <c r="H1822" s="235"/>
    </row>
    <row r="1823" spans="3:8">
      <c r="C1823" s="235"/>
      <c r="D1823" s="235"/>
      <c r="E1823" s="235"/>
      <c r="F1823" s="235"/>
      <c r="G1823" s="235"/>
      <c r="H1823" s="235"/>
    </row>
    <row r="1824" spans="3:8">
      <c r="C1824" s="235"/>
      <c r="D1824" s="235"/>
      <c r="E1824" s="235"/>
      <c r="F1824" s="235"/>
      <c r="G1824" s="235"/>
      <c r="H1824" s="235"/>
    </row>
    <row r="1825" spans="3:8">
      <c r="C1825" s="235"/>
      <c r="D1825" s="235"/>
      <c r="E1825" s="235"/>
      <c r="F1825" s="235"/>
      <c r="G1825" s="235"/>
      <c r="H1825" s="235"/>
    </row>
    <row r="1826" spans="3:8">
      <c r="C1826" s="235"/>
      <c r="D1826" s="235"/>
      <c r="E1826" s="235"/>
      <c r="F1826" s="235"/>
      <c r="G1826" s="235"/>
      <c r="H1826" s="235"/>
    </row>
    <row r="1827" spans="3:8">
      <c r="C1827" s="235"/>
      <c r="D1827" s="235"/>
      <c r="E1827" s="235"/>
      <c r="F1827" s="235"/>
      <c r="G1827" s="235"/>
      <c r="H1827" s="235"/>
    </row>
    <row r="1828" spans="3:8">
      <c r="C1828" s="235"/>
      <c r="D1828" s="235"/>
      <c r="E1828" s="235"/>
      <c r="F1828" s="235"/>
      <c r="G1828" s="235"/>
      <c r="H1828" s="235"/>
    </row>
    <row r="1829" spans="3:8">
      <c r="C1829" s="235"/>
      <c r="D1829" s="235"/>
      <c r="E1829" s="235"/>
      <c r="F1829" s="235"/>
      <c r="G1829" s="235"/>
      <c r="H1829" s="235"/>
    </row>
    <row r="1830" spans="3:8">
      <c r="C1830" s="235"/>
      <c r="D1830" s="235"/>
      <c r="E1830" s="235"/>
      <c r="F1830" s="235"/>
      <c r="G1830" s="235"/>
      <c r="H1830" s="235"/>
    </row>
    <row r="1831" spans="3:8">
      <c r="C1831" s="235"/>
      <c r="D1831" s="235"/>
      <c r="E1831" s="235"/>
      <c r="F1831" s="235"/>
      <c r="G1831" s="235"/>
      <c r="H1831" s="235"/>
    </row>
    <row r="1832" spans="3:8">
      <c r="C1832" s="235"/>
      <c r="D1832" s="235"/>
      <c r="E1832" s="235"/>
      <c r="F1832" s="235"/>
      <c r="G1832" s="235"/>
      <c r="H1832" s="235"/>
    </row>
    <row r="1833" spans="3:8">
      <c r="C1833" s="235"/>
      <c r="D1833" s="235"/>
      <c r="E1833" s="235"/>
      <c r="F1833" s="235"/>
      <c r="G1833" s="235"/>
      <c r="H1833" s="235"/>
    </row>
    <row r="1834" spans="3:8">
      <c r="C1834" s="235"/>
      <c r="D1834" s="235"/>
      <c r="E1834" s="235"/>
      <c r="F1834" s="235"/>
      <c r="G1834" s="235"/>
      <c r="H1834" s="235"/>
    </row>
    <row r="1835" spans="3:8">
      <c r="C1835" s="235"/>
      <c r="D1835" s="235"/>
      <c r="E1835" s="235"/>
      <c r="F1835" s="235"/>
      <c r="G1835" s="235"/>
      <c r="H1835" s="235"/>
    </row>
    <row r="1836" spans="3:8">
      <c r="C1836" s="235"/>
      <c r="D1836" s="235"/>
      <c r="E1836" s="235"/>
      <c r="F1836" s="235"/>
      <c r="G1836" s="235"/>
      <c r="H1836" s="235"/>
    </row>
    <row r="1837" spans="3:8">
      <c r="C1837" s="235"/>
      <c r="D1837" s="235"/>
      <c r="E1837" s="235"/>
      <c r="F1837" s="235"/>
      <c r="G1837" s="235"/>
      <c r="H1837" s="235"/>
    </row>
    <row r="1838" spans="3:8">
      <c r="C1838" s="235"/>
      <c r="D1838" s="235"/>
      <c r="E1838" s="235"/>
      <c r="F1838" s="235"/>
      <c r="G1838" s="235"/>
      <c r="H1838" s="235"/>
    </row>
    <row r="1839" spans="3:8">
      <c r="C1839" s="235"/>
      <c r="D1839" s="235"/>
      <c r="E1839" s="235"/>
      <c r="F1839" s="235"/>
      <c r="G1839" s="235"/>
      <c r="H1839" s="235"/>
    </row>
    <row r="1840" spans="3:8">
      <c r="C1840" s="235"/>
      <c r="D1840" s="235"/>
      <c r="E1840" s="235"/>
      <c r="F1840" s="235"/>
      <c r="G1840" s="235"/>
      <c r="H1840" s="235"/>
    </row>
    <row r="1841" spans="3:8">
      <c r="C1841" s="235"/>
      <c r="D1841" s="235"/>
      <c r="E1841" s="235"/>
      <c r="F1841" s="235"/>
      <c r="G1841" s="235"/>
      <c r="H1841" s="235"/>
    </row>
    <row r="1842" spans="3:8">
      <c r="C1842" s="235"/>
      <c r="D1842" s="235"/>
      <c r="E1842" s="235"/>
      <c r="F1842" s="235"/>
      <c r="G1842" s="235"/>
      <c r="H1842" s="235"/>
    </row>
    <row r="1843" spans="3:8">
      <c r="C1843" s="235"/>
      <c r="D1843" s="235"/>
      <c r="E1843" s="235"/>
      <c r="F1843" s="235"/>
      <c r="G1843" s="235"/>
      <c r="H1843" s="235"/>
    </row>
    <row r="1844" spans="3:8">
      <c r="C1844" s="235"/>
      <c r="D1844" s="235"/>
      <c r="E1844" s="235"/>
      <c r="F1844" s="235"/>
      <c r="G1844" s="235"/>
      <c r="H1844" s="235"/>
    </row>
    <row r="1845" spans="3:8">
      <c r="C1845" s="235"/>
      <c r="D1845" s="235"/>
      <c r="E1845" s="235"/>
      <c r="F1845" s="235"/>
      <c r="G1845" s="235"/>
      <c r="H1845" s="235"/>
    </row>
    <row r="1846" spans="3:8">
      <c r="C1846" s="235"/>
      <c r="D1846" s="235"/>
      <c r="E1846" s="235"/>
      <c r="F1846" s="235"/>
      <c r="G1846" s="235"/>
      <c r="H1846" s="235"/>
    </row>
    <row r="1847" spans="3:8">
      <c r="C1847" s="235"/>
      <c r="D1847" s="235"/>
      <c r="E1847" s="235"/>
      <c r="F1847" s="235"/>
      <c r="G1847" s="235"/>
      <c r="H1847" s="235"/>
    </row>
    <row r="1848" spans="3:8">
      <c r="C1848" s="235"/>
      <c r="D1848" s="235"/>
      <c r="E1848" s="235"/>
      <c r="F1848" s="235"/>
      <c r="G1848" s="235"/>
      <c r="H1848" s="235"/>
    </row>
    <row r="1849" spans="3:8">
      <c r="C1849" s="235"/>
      <c r="D1849" s="235"/>
      <c r="E1849" s="235"/>
      <c r="F1849" s="235"/>
      <c r="G1849" s="235"/>
      <c r="H1849" s="235"/>
    </row>
    <row r="1850" spans="3:8">
      <c r="C1850" s="235"/>
      <c r="D1850" s="235"/>
      <c r="E1850" s="235"/>
      <c r="F1850" s="235"/>
      <c r="G1850" s="235"/>
      <c r="H1850" s="235"/>
    </row>
    <row r="1851" spans="3:8">
      <c r="C1851" s="235"/>
      <c r="D1851" s="235"/>
      <c r="E1851" s="235"/>
      <c r="F1851" s="235"/>
      <c r="G1851" s="235"/>
      <c r="H1851" s="235"/>
    </row>
    <row r="1852" spans="3:8">
      <c r="C1852" s="235"/>
      <c r="D1852" s="235"/>
      <c r="E1852" s="235"/>
      <c r="F1852" s="235"/>
      <c r="G1852" s="235"/>
      <c r="H1852" s="235"/>
    </row>
    <row r="1853" spans="3:8">
      <c r="C1853" s="235"/>
      <c r="D1853" s="235"/>
      <c r="E1853" s="235"/>
      <c r="F1853" s="235"/>
      <c r="G1853" s="235"/>
      <c r="H1853" s="235"/>
    </row>
    <row r="1854" spans="3:8">
      <c r="C1854" s="235"/>
      <c r="D1854" s="235"/>
      <c r="E1854" s="235"/>
      <c r="F1854" s="235"/>
      <c r="G1854" s="235"/>
      <c r="H1854" s="235"/>
    </row>
    <row r="1855" spans="3:8">
      <c r="C1855" s="235"/>
      <c r="D1855" s="235"/>
      <c r="E1855" s="235"/>
      <c r="F1855" s="235"/>
      <c r="G1855" s="235"/>
      <c r="H1855" s="235"/>
    </row>
    <row r="1856" spans="3:8">
      <c r="C1856" s="235"/>
      <c r="D1856" s="235"/>
      <c r="E1856" s="235"/>
      <c r="F1856" s="235"/>
      <c r="G1856" s="235"/>
      <c r="H1856" s="235"/>
    </row>
    <row r="1857" spans="3:8">
      <c r="C1857" s="235"/>
      <c r="D1857" s="235"/>
      <c r="E1857" s="235"/>
      <c r="F1857" s="235"/>
      <c r="G1857" s="235"/>
      <c r="H1857" s="235"/>
    </row>
    <row r="1858" spans="3:8">
      <c r="C1858" s="235"/>
      <c r="D1858" s="235"/>
      <c r="E1858" s="235"/>
      <c r="F1858" s="235"/>
      <c r="G1858" s="235"/>
      <c r="H1858" s="235"/>
    </row>
    <row r="1859" spans="3:8">
      <c r="C1859" s="235"/>
      <c r="D1859" s="235"/>
      <c r="E1859" s="235"/>
      <c r="F1859" s="235"/>
      <c r="G1859" s="235"/>
      <c r="H1859" s="235"/>
    </row>
    <row r="1860" spans="3:8">
      <c r="C1860" s="235"/>
      <c r="D1860" s="235"/>
      <c r="E1860" s="235"/>
      <c r="F1860" s="235"/>
      <c r="G1860" s="235"/>
      <c r="H1860" s="235"/>
    </row>
    <row r="1861" spans="3:8">
      <c r="C1861" s="235"/>
      <c r="D1861" s="235"/>
      <c r="E1861" s="235"/>
      <c r="F1861" s="235"/>
      <c r="G1861" s="235"/>
      <c r="H1861" s="235"/>
    </row>
    <row r="1862" spans="3:8">
      <c r="C1862" s="235"/>
      <c r="D1862" s="235"/>
      <c r="E1862" s="235"/>
      <c r="F1862" s="235"/>
      <c r="G1862" s="235"/>
      <c r="H1862" s="235"/>
    </row>
    <row r="1863" spans="3:8">
      <c r="C1863" s="235"/>
      <c r="D1863" s="235"/>
      <c r="E1863" s="235"/>
      <c r="F1863" s="235"/>
      <c r="G1863" s="235"/>
      <c r="H1863" s="235"/>
    </row>
    <row r="1864" spans="3:8">
      <c r="C1864" s="235"/>
      <c r="D1864" s="235"/>
      <c r="E1864" s="235"/>
      <c r="F1864" s="235"/>
      <c r="G1864" s="235"/>
      <c r="H1864" s="235"/>
    </row>
    <row r="1865" spans="3:8">
      <c r="C1865" s="235"/>
      <c r="D1865" s="235"/>
      <c r="E1865" s="235"/>
      <c r="F1865" s="235"/>
      <c r="G1865" s="235"/>
      <c r="H1865" s="235"/>
    </row>
    <row r="1866" spans="3:8">
      <c r="C1866" s="235"/>
      <c r="D1866" s="235"/>
      <c r="E1866" s="235"/>
      <c r="F1866" s="235"/>
      <c r="G1866" s="235"/>
      <c r="H1866" s="235"/>
    </row>
    <row r="1867" spans="3:8">
      <c r="C1867" s="235"/>
      <c r="D1867" s="235"/>
      <c r="E1867" s="235"/>
      <c r="F1867" s="235"/>
      <c r="G1867" s="235"/>
      <c r="H1867" s="235"/>
    </row>
    <row r="1868" spans="3:8">
      <c r="C1868" s="235"/>
      <c r="D1868" s="235"/>
      <c r="E1868" s="235"/>
      <c r="F1868" s="235"/>
      <c r="G1868" s="235"/>
      <c r="H1868" s="235"/>
    </row>
    <row r="1869" spans="3:8">
      <c r="C1869" s="235"/>
      <c r="D1869" s="235"/>
      <c r="E1869" s="235"/>
      <c r="F1869" s="235"/>
      <c r="G1869" s="235"/>
      <c r="H1869" s="235"/>
    </row>
    <row r="1870" spans="3:8">
      <c r="C1870" s="235"/>
      <c r="D1870" s="235"/>
      <c r="E1870" s="235"/>
      <c r="F1870" s="235"/>
      <c r="G1870" s="235"/>
      <c r="H1870" s="235"/>
    </row>
    <row r="1871" spans="3:8">
      <c r="C1871" s="235"/>
      <c r="D1871" s="235"/>
      <c r="E1871" s="235"/>
      <c r="F1871" s="235"/>
      <c r="G1871" s="235"/>
      <c r="H1871" s="235"/>
    </row>
    <row r="1872" spans="3:8">
      <c r="C1872" s="235"/>
      <c r="D1872" s="235"/>
      <c r="E1872" s="235"/>
      <c r="F1872" s="235"/>
      <c r="G1872" s="235"/>
      <c r="H1872" s="235"/>
    </row>
    <row r="1873" spans="3:8">
      <c r="C1873" s="235"/>
      <c r="D1873" s="235"/>
      <c r="E1873" s="235"/>
      <c r="F1873" s="235"/>
      <c r="G1873" s="235"/>
      <c r="H1873" s="235"/>
    </row>
    <row r="1874" spans="3:8">
      <c r="C1874" s="235"/>
      <c r="D1874" s="235"/>
      <c r="E1874" s="235"/>
      <c r="F1874" s="235"/>
      <c r="G1874" s="235"/>
      <c r="H1874" s="235"/>
    </row>
  </sheetData>
  <mergeCells count="322">
    <mergeCell ref="B1538:G1538"/>
    <mergeCell ref="B1539:H1539"/>
    <mergeCell ref="B1545:G1545"/>
    <mergeCell ref="B1546:H1546"/>
    <mergeCell ref="B1552:G1552"/>
    <mergeCell ref="B1553:H1553"/>
    <mergeCell ref="B1504:H1504"/>
    <mergeCell ref="B1509:G1509"/>
    <mergeCell ref="B1510:H1510"/>
    <mergeCell ref="B1522:G1522"/>
    <mergeCell ref="B1523:H1523"/>
    <mergeCell ref="B1529:G1529"/>
    <mergeCell ref="B1612:H1612"/>
    <mergeCell ref="B1558:G1558"/>
    <mergeCell ref="B1559:H1559"/>
    <mergeCell ref="B1564:G1564"/>
    <mergeCell ref="B1641:G1641"/>
    <mergeCell ref="B1642:H1642"/>
    <mergeCell ref="B1650:G1650"/>
    <mergeCell ref="B1651:H1651"/>
    <mergeCell ref="B1654:G1654"/>
    <mergeCell ref="B1627:G1627"/>
    <mergeCell ref="B1628:H1628"/>
    <mergeCell ref="B1633:G1633"/>
    <mergeCell ref="B1634:H1634"/>
    <mergeCell ref="B1637:G1637"/>
    <mergeCell ref="B1638:H1638"/>
    <mergeCell ref="B1565:H1565"/>
    <mergeCell ref="B1572:G1572"/>
    <mergeCell ref="B1573:H1573"/>
    <mergeCell ref="B1579:G1579"/>
    <mergeCell ref="B1580:H1580"/>
    <mergeCell ref="B1595:G1595"/>
    <mergeCell ref="B1596:H1596"/>
    <mergeCell ref="B1611:G1611"/>
    <mergeCell ref="B1497:G1497"/>
    <mergeCell ref="B1498:H1498"/>
    <mergeCell ref="B1503:G1503"/>
    <mergeCell ref="B1464:G1464"/>
    <mergeCell ref="B1465:H1465"/>
    <mergeCell ref="B1466:H1466"/>
    <mergeCell ref="B1480:G1480"/>
    <mergeCell ref="B1481:H1481"/>
    <mergeCell ref="B1486:G1486"/>
    <mergeCell ref="B1487:H1487"/>
    <mergeCell ref="B1491:G1491"/>
    <mergeCell ref="B1492:H1492"/>
    <mergeCell ref="B1419:G1419"/>
    <mergeCell ref="B1420:H1420"/>
    <mergeCell ref="B1434:G1434"/>
    <mergeCell ref="B1435:H1435"/>
    <mergeCell ref="B1449:G1449"/>
    <mergeCell ref="B1450:H1450"/>
    <mergeCell ref="B1376:G1376"/>
    <mergeCell ref="B1377:H1377"/>
    <mergeCell ref="B1408:G1408"/>
    <mergeCell ref="B1409:H1409"/>
    <mergeCell ref="B1413:G1413"/>
    <mergeCell ref="B1414:H1414"/>
    <mergeCell ref="B1346:H1346"/>
    <mergeCell ref="B1352:G1352"/>
    <mergeCell ref="B1353:H1353"/>
    <mergeCell ref="B1359:G1359"/>
    <mergeCell ref="B1368:G1368"/>
    <mergeCell ref="B1369:H1369"/>
    <mergeCell ref="B1316:G1316"/>
    <mergeCell ref="B1333:G1333"/>
    <mergeCell ref="B1334:H1334"/>
    <mergeCell ref="B1339:G1339"/>
    <mergeCell ref="B1340:H1340"/>
    <mergeCell ref="B1345:G1345"/>
    <mergeCell ref="B1271:G1271"/>
    <mergeCell ref="B1272:H1272"/>
    <mergeCell ref="B1286:G1286"/>
    <mergeCell ref="B1287:H1287"/>
    <mergeCell ref="B1301:G1301"/>
    <mergeCell ref="B1302:H1302"/>
    <mergeCell ref="B1233:G1233"/>
    <mergeCell ref="B1234:H1234"/>
    <mergeCell ref="B1242:G1242"/>
    <mergeCell ref="B1243:H1243"/>
    <mergeCell ref="B1256:G1256"/>
    <mergeCell ref="B1257:H1257"/>
    <mergeCell ref="B1206:G1206"/>
    <mergeCell ref="B1207:H1207"/>
    <mergeCell ref="B1215:G1215"/>
    <mergeCell ref="B1216:H1216"/>
    <mergeCell ref="B1224:G1224"/>
    <mergeCell ref="B1225:H1225"/>
    <mergeCell ref="B1179:G1179"/>
    <mergeCell ref="B1180:H1180"/>
    <mergeCell ref="B1188:G1188"/>
    <mergeCell ref="B1189:H1189"/>
    <mergeCell ref="B1197:G1197"/>
    <mergeCell ref="B1198:H1198"/>
    <mergeCell ref="B1146:H1146"/>
    <mergeCell ref="B1159:G1159"/>
    <mergeCell ref="B1160:H1160"/>
    <mergeCell ref="B1169:G1169"/>
    <mergeCell ref="B1170:H1170"/>
    <mergeCell ref="B1088:G1088"/>
    <mergeCell ref="B1089:H1089"/>
    <mergeCell ref="B1096:G1096"/>
    <mergeCell ref="B1097:H1097"/>
    <mergeCell ref="B1103:G1103"/>
    <mergeCell ref="B1104:H1104"/>
    <mergeCell ref="B1145:G1145"/>
    <mergeCell ref="B1062:G1062"/>
    <mergeCell ref="B1063:H1063"/>
    <mergeCell ref="B1073:G1073"/>
    <mergeCell ref="B1074:H1074"/>
    <mergeCell ref="B1080:G1080"/>
    <mergeCell ref="B1081:H1081"/>
    <mergeCell ref="B1014:G1014"/>
    <mergeCell ref="B1015:H1015"/>
    <mergeCell ref="B1039:G1039"/>
    <mergeCell ref="B1040:H1040"/>
    <mergeCell ref="B1052:G1052"/>
    <mergeCell ref="B1053:H1053"/>
    <mergeCell ref="B993:G993"/>
    <mergeCell ref="B994:H994"/>
    <mergeCell ref="B999:G999"/>
    <mergeCell ref="B1000:H1000"/>
    <mergeCell ref="B1005:G1005"/>
    <mergeCell ref="B1006:H1006"/>
    <mergeCell ref="B969:G969"/>
    <mergeCell ref="B970:H970"/>
    <mergeCell ref="B979:G979"/>
    <mergeCell ref="B980:H980"/>
    <mergeCell ref="B985:G985"/>
    <mergeCell ref="B986:H986"/>
    <mergeCell ref="B935:G935"/>
    <mergeCell ref="B936:H936"/>
    <mergeCell ref="B943:G943"/>
    <mergeCell ref="B944:H944"/>
    <mergeCell ref="B951:G951"/>
    <mergeCell ref="B952:H952"/>
    <mergeCell ref="B902:G902"/>
    <mergeCell ref="B903:H903"/>
    <mergeCell ref="B918:G918"/>
    <mergeCell ref="B919:H919"/>
    <mergeCell ref="B927:G927"/>
    <mergeCell ref="B928:H928"/>
    <mergeCell ref="B867:G867"/>
    <mergeCell ref="B877:G877"/>
    <mergeCell ref="B887:G887"/>
    <mergeCell ref="B888:H888"/>
    <mergeCell ref="B897:G897"/>
    <mergeCell ref="B898:H898"/>
    <mergeCell ref="B829:G829"/>
    <mergeCell ref="B830:H830"/>
    <mergeCell ref="B839:G839"/>
    <mergeCell ref="B840:H840"/>
    <mergeCell ref="B848:G848"/>
    <mergeCell ref="B858:G858"/>
    <mergeCell ref="B807:G807"/>
    <mergeCell ref="B808:H808"/>
    <mergeCell ref="B815:G815"/>
    <mergeCell ref="B816:H816"/>
    <mergeCell ref="B823:G823"/>
    <mergeCell ref="B824:H824"/>
    <mergeCell ref="B784:G784"/>
    <mergeCell ref="B785:H785"/>
    <mergeCell ref="B792:G792"/>
    <mergeCell ref="B793:H793"/>
    <mergeCell ref="B799:G799"/>
    <mergeCell ref="B800:H800"/>
    <mergeCell ref="B765:G765"/>
    <mergeCell ref="B766:H766"/>
    <mergeCell ref="B770:G770"/>
    <mergeCell ref="B771:H771"/>
    <mergeCell ref="B776:G776"/>
    <mergeCell ref="B777:H777"/>
    <mergeCell ref="B734:G734"/>
    <mergeCell ref="B735:H735"/>
    <mergeCell ref="B741:G741"/>
    <mergeCell ref="B742:H742"/>
    <mergeCell ref="B750:G750"/>
    <mergeCell ref="B751:H751"/>
    <mergeCell ref="B712:G712"/>
    <mergeCell ref="B713:H713"/>
    <mergeCell ref="B720:G720"/>
    <mergeCell ref="B721:H721"/>
    <mergeCell ref="B728:G728"/>
    <mergeCell ref="B729:H729"/>
    <mergeCell ref="B690:G690"/>
    <mergeCell ref="B691:H691"/>
    <mergeCell ref="B697:G697"/>
    <mergeCell ref="B698:H698"/>
    <mergeCell ref="B706:G706"/>
    <mergeCell ref="B707:H707"/>
    <mergeCell ref="B672:G672"/>
    <mergeCell ref="B673:H673"/>
    <mergeCell ref="B676:G676"/>
    <mergeCell ref="B677:H677"/>
    <mergeCell ref="B683:G683"/>
    <mergeCell ref="B684:H684"/>
    <mergeCell ref="B650:G650"/>
    <mergeCell ref="B651:H651"/>
    <mergeCell ref="B664:G664"/>
    <mergeCell ref="B665:H665"/>
    <mergeCell ref="B668:G668"/>
    <mergeCell ref="B669:H669"/>
    <mergeCell ref="B624:G624"/>
    <mergeCell ref="B625:H625"/>
    <mergeCell ref="B631:G631"/>
    <mergeCell ref="B632:H632"/>
    <mergeCell ref="B638:G638"/>
    <mergeCell ref="B639:H639"/>
    <mergeCell ref="B590:G590"/>
    <mergeCell ref="B591:H591"/>
    <mergeCell ref="B610:G610"/>
    <mergeCell ref="B611:H611"/>
    <mergeCell ref="B615:G615"/>
    <mergeCell ref="B616:H616"/>
    <mergeCell ref="B530:G530"/>
    <mergeCell ref="B531:H531"/>
    <mergeCell ref="B550:G550"/>
    <mergeCell ref="B551:H551"/>
    <mergeCell ref="B570:G570"/>
    <mergeCell ref="B571:H571"/>
    <mergeCell ref="B470:G470"/>
    <mergeCell ref="B471:H471"/>
    <mergeCell ref="B488:G488"/>
    <mergeCell ref="B489:H489"/>
    <mergeCell ref="B507:G507"/>
    <mergeCell ref="B508:H508"/>
    <mergeCell ref="B413:G413"/>
    <mergeCell ref="B414:H414"/>
    <mergeCell ref="B431:G431"/>
    <mergeCell ref="B432:H432"/>
    <mergeCell ref="B451:G451"/>
    <mergeCell ref="B452:H452"/>
    <mergeCell ref="B355:G355"/>
    <mergeCell ref="B356:H356"/>
    <mergeCell ref="B375:G375"/>
    <mergeCell ref="B376:H376"/>
    <mergeCell ref="B393:G393"/>
    <mergeCell ref="B394:H394"/>
    <mergeCell ref="B294:G294"/>
    <mergeCell ref="B295:H295"/>
    <mergeCell ref="B315:G315"/>
    <mergeCell ref="B316:H316"/>
    <mergeCell ref="B335:G335"/>
    <mergeCell ref="B336:H336"/>
    <mergeCell ref="B245:H245"/>
    <mergeCell ref="B254:G254"/>
    <mergeCell ref="B255:H255"/>
    <mergeCell ref="B274:G274"/>
    <mergeCell ref="B275:H275"/>
    <mergeCell ref="J276:L277"/>
    <mergeCell ref="B229:H229"/>
    <mergeCell ref="B232:G232"/>
    <mergeCell ref="B233:H233"/>
    <mergeCell ref="B236:G236"/>
    <mergeCell ref="B237:H237"/>
    <mergeCell ref="B244:G244"/>
    <mergeCell ref="B203:H203"/>
    <mergeCell ref="B211:G211"/>
    <mergeCell ref="B212:H212"/>
    <mergeCell ref="B220:G220"/>
    <mergeCell ref="B221:H221"/>
    <mergeCell ref="B228:G228"/>
    <mergeCell ref="B180:G180"/>
    <mergeCell ref="B181:H181"/>
    <mergeCell ref="B187:G187"/>
    <mergeCell ref="B195:G195"/>
    <mergeCell ref="B196:H196"/>
    <mergeCell ref="B202:G202"/>
    <mergeCell ref="B159:G159"/>
    <mergeCell ref="B160:H160"/>
    <mergeCell ref="B166:G166"/>
    <mergeCell ref="B167:H167"/>
    <mergeCell ref="B174:G174"/>
    <mergeCell ref="B175:H175"/>
    <mergeCell ref="B1:H1"/>
    <mergeCell ref="B24:G24"/>
    <mergeCell ref="B13:H13"/>
    <mergeCell ref="B67:H67"/>
    <mergeCell ref="B75:G75"/>
    <mergeCell ref="B76:H76"/>
    <mergeCell ref="B80:G80"/>
    <mergeCell ref="B81:H81"/>
    <mergeCell ref="B84:G84"/>
    <mergeCell ref="B25:H25"/>
    <mergeCell ref="B44:G44"/>
    <mergeCell ref="B45:H45"/>
    <mergeCell ref="B52:G52"/>
    <mergeCell ref="B53:H53"/>
    <mergeCell ref="B66:G66"/>
    <mergeCell ref="F12:H12"/>
    <mergeCell ref="B14:H14"/>
    <mergeCell ref="B15:H15"/>
    <mergeCell ref="F7:G7"/>
    <mergeCell ref="B8:H8"/>
    <mergeCell ref="B9:H9"/>
    <mergeCell ref="B16:H16"/>
    <mergeCell ref="B4:E4"/>
    <mergeCell ref="F4:G4"/>
    <mergeCell ref="B5:E5"/>
    <mergeCell ref="B6:E6"/>
    <mergeCell ref="F6:G6"/>
    <mergeCell ref="B85:H85"/>
    <mergeCell ref="B88:G88"/>
    <mergeCell ref="B89:H89"/>
    <mergeCell ref="B11:H11"/>
    <mergeCell ref="B18:H18"/>
    <mergeCell ref="B17:H17"/>
    <mergeCell ref="B94:G94"/>
    <mergeCell ref="B95:H95"/>
    <mergeCell ref="B104:G104"/>
    <mergeCell ref="B133:H133"/>
    <mergeCell ref="B141:G141"/>
    <mergeCell ref="B142:H142"/>
    <mergeCell ref="B150:G150"/>
    <mergeCell ref="B151:H151"/>
    <mergeCell ref="B105:H105"/>
    <mergeCell ref="B114:G114"/>
    <mergeCell ref="B115:H115"/>
    <mergeCell ref="B124:G124"/>
    <mergeCell ref="B125:H125"/>
    <mergeCell ref="B132:G132"/>
  </mergeCells>
  <phoneticPr fontId="37" type="noConversion"/>
  <pageMargins left="0.511811024" right="0.511811024" top="0.78740157499999996" bottom="0.78740157499999996" header="0.31496062000000002" footer="0.31496062000000002"/>
  <pageSetup paperSize="9" scale="19" fitToHeight="0" orientation="portrait" r:id="rId1"/>
</worksheet>
</file>

<file path=xl/worksheets/sheet9.xml><?xml version="1.0" encoding="utf-8"?>
<worksheet xmlns="http://schemas.openxmlformats.org/spreadsheetml/2006/main" xmlns:r="http://schemas.openxmlformats.org/officeDocument/2006/relationships">
  <dimension ref="C1:G38"/>
  <sheetViews>
    <sheetView workbookViewId="0">
      <selection activeCell="C2" sqref="C2"/>
    </sheetView>
  </sheetViews>
  <sheetFormatPr defaultRowHeight="15"/>
  <cols>
    <col min="1" max="2" width="3.7109375" customWidth="1"/>
    <col min="4" max="4" width="12.85546875" style="342" customWidth="1"/>
    <col min="5" max="5" width="13.85546875" style="343" customWidth="1"/>
    <col min="7" max="7" width="3.7109375" customWidth="1"/>
    <col min="256" max="257" width="3.7109375" customWidth="1"/>
    <col min="259" max="259" width="12.85546875" customWidth="1"/>
    <col min="260" max="260" width="13.85546875" customWidth="1"/>
    <col min="262" max="262" width="3.7109375" customWidth="1"/>
    <col min="512" max="513" width="3.7109375" customWidth="1"/>
    <col min="515" max="515" width="12.85546875" customWidth="1"/>
    <col min="516" max="516" width="13.85546875" customWidth="1"/>
    <col min="518" max="518" width="3.7109375" customWidth="1"/>
    <col min="768" max="769" width="3.7109375" customWidth="1"/>
    <col min="771" max="771" width="12.85546875" customWidth="1"/>
    <col min="772" max="772" width="13.85546875" customWidth="1"/>
    <col min="774" max="774" width="3.7109375" customWidth="1"/>
    <col min="1024" max="1025" width="3.7109375" customWidth="1"/>
    <col min="1027" max="1027" width="12.85546875" customWidth="1"/>
    <col min="1028" max="1028" width="13.85546875" customWidth="1"/>
    <col min="1030" max="1030" width="3.7109375" customWidth="1"/>
    <col min="1280" max="1281" width="3.7109375" customWidth="1"/>
    <col min="1283" max="1283" width="12.85546875" customWidth="1"/>
    <col min="1284" max="1284" width="13.85546875" customWidth="1"/>
    <col min="1286" max="1286" width="3.7109375" customWidth="1"/>
    <col min="1536" max="1537" width="3.7109375" customWidth="1"/>
    <col min="1539" max="1539" width="12.85546875" customWidth="1"/>
    <col min="1540" max="1540" width="13.85546875" customWidth="1"/>
    <col min="1542" max="1542" width="3.7109375" customWidth="1"/>
    <col min="1792" max="1793" width="3.7109375" customWidth="1"/>
    <col min="1795" max="1795" width="12.85546875" customWidth="1"/>
    <col min="1796" max="1796" width="13.85546875" customWidth="1"/>
    <col min="1798" max="1798" width="3.7109375" customWidth="1"/>
    <col min="2048" max="2049" width="3.7109375" customWidth="1"/>
    <col min="2051" max="2051" width="12.85546875" customWidth="1"/>
    <col min="2052" max="2052" width="13.85546875" customWidth="1"/>
    <col min="2054" max="2054" width="3.7109375" customWidth="1"/>
    <col min="2304" max="2305" width="3.7109375" customWidth="1"/>
    <col min="2307" max="2307" width="12.85546875" customWidth="1"/>
    <col min="2308" max="2308" width="13.85546875" customWidth="1"/>
    <col min="2310" max="2310" width="3.7109375" customWidth="1"/>
    <col min="2560" max="2561" width="3.7109375" customWidth="1"/>
    <col min="2563" max="2563" width="12.85546875" customWidth="1"/>
    <col min="2564" max="2564" width="13.85546875" customWidth="1"/>
    <col min="2566" max="2566" width="3.7109375" customWidth="1"/>
    <col min="2816" max="2817" width="3.7109375" customWidth="1"/>
    <col min="2819" max="2819" width="12.85546875" customWidth="1"/>
    <col min="2820" max="2820" width="13.85546875" customWidth="1"/>
    <col min="2822" max="2822" width="3.7109375" customWidth="1"/>
    <col min="3072" max="3073" width="3.7109375" customWidth="1"/>
    <col min="3075" max="3075" width="12.85546875" customWidth="1"/>
    <col min="3076" max="3076" width="13.85546875" customWidth="1"/>
    <col min="3078" max="3078" width="3.7109375" customWidth="1"/>
    <col min="3328" max="3329" width="3.7109375" customWidth="1"/>
    <col min="3331" max="3331" width="12.85546875" customWidth="1"/>
    <col min="3332" max="3332" width="13.85546875" customWidth="1"/>
    <col min="3334" max="3334" width="3.7109375" customWidth="1"/>
    <col min="3584" max="3585" width="3.7109375" customWidth="1"/>
    <col min="3587" max="3587" width="12.85546875" customWidth="1"/>
    <col min="3588" max="3588" width="13.85546875" customWidth="1"/>
    <col min="3590" max="3590" width="3.7109375" customWidth="1"/>
    <col min="3840" max="3841" width="3.7109375" customWidth="1"/>
    <col min="3843" max="3843" width="12.85546875" customWidth="1"/>
    <col min="3844" max="3844" width="13.85546875" customWidth="1"/>
    <col min="3846" max="3846" width="3.7109375" customWidth="1"/>
    <col min="4096" max="4097" width="3.7109375" customWidth="1"/>
    <col min="4099" max="4099" width="12.85546875" customWidth="1"/>
    <col min="4100" max="4100" width="13.85546875" customWidth="1"/>
    <col min="4102" max="4102" width="3.7109375" customWidth="1"/>
    <col min="4352" max="4353" width="3.7109375" customWidth="1"/>
    <col min="4355" max="4355" width="12.85546875" customWidth="1"/>
    <col min="4356" max="4356" width="13.85546875" customWidth="1"/>
    <col min="4358" max="4358" width="3.7109375" customWidth="1"/>
    <col min="4608" max="4609" width="3.7109375" customWidth="1"/>
    <col min="4611" max="4611" width="12.85546875" customWidth="1"/>
    <col min="4612" max="4612" width="13.85546875" customWidth="1"/>
    <col min="4614" max="4614" width="3.7109375" customWidth="1"/>
    <col min="4864" max="4865" width="3.7109375" customWidth="1"/>
    <col min="4867" max="4867" width="12.85546875" customWidth="1"/>
    <col min="4868" max="4868" width="13.85546875" customWidth="1"/>
    <col min="4870" max="4870" width="3.7109375" customWidth="1"/>
    <col min="5120" max="5121" width="3.7109375" customWidth="1"/>
    <col min="5123" max="5123" width="12.85546875" customWidth="1"/>
    <col min="5124" max="5124" width="13.85546875" customWidth="1"/>
    <col min="5126" max="5126" width="3.7109375" customWidth="1"/>
    <col min="5376" max="5377" width="3.7109375" customWidth="1"/>
    <col min="5379" max="5379" width="12.85546875" customWidth="1"/>
    <col min="5380" max="5380" width="13.85546875" customWidth="1"/>
    <col min="5382" max="5382" width="3.7109375" customWidth="1"/>
    <col min="5632" max="5633" width="3.7109375" customWidth="1"/>
    <col min="5635" max="5635" width="12.85546875" customWidth="1"/>
    <col min="5636" max="5636" width="13.85546875" customWidth="1"/>
    <col min="5638" max="5638" width="3.7109375" customWidth="1"/>
    <col min="5888" max="5889" width="3.7109375" customWidth="1"/>
    <col min="5891" max="5891" width="12.85546875" customWidth="1"/>
    <col min="5892" max="5892" width="13.85546875" customWidth="1"/>
    <col min="5894" max="5894" width="3.7109375" customWidth="1"/>
    <col min="6144" max="6145" width="3.7109375" customWidth="1"/>
    <col min="6147" max="6147" width="12.85546875" customWidth="1"/>
    <col min="6148" max="6148" width="13.85546875" customWidth="1"/>
    <col min="6150" max="6150" width="3.7109375" customWidth="1"/>
    <col min="6400" max="6401" width="3.7109375" customWidth="1"/>
    <col min="6403" max="6403" width="12.85546875" customWidth="1"/>
    <col min="6404" max="6404" width="13.85546875" customWidth="1"/>
    <col min="6406" max="6406" width="3.7109375" customWidth="1"/>
    <col min="6656" max="6657" width="3.7109375" customWidth="1"/>
    <col min="6659" max="6659" width="12.85546875" customWidth="1"/>
    <col min="6660" max="6660" width="13.85546875" customWidth="1"/>
    <col min="6662" max="6662" width="3.7109375" customWidth="1"/>
    <col min="6912" max="6913" width="3.7109375" customWidth="1"/>
    <col min="6915" max="6915" width="12.85546875" customWidth="1"/>
    <col min="6916" max="6916" width="13.85546875" customWidth="1"/>
    <col min="6918" max="6918" width="3.7109375" customWidth="1"/>
    <col min="7168" max="7169" width="3.7109375" customWidth="1"/>
    <col min="7171" max="7171" width="12.85546875" customWidth="1"/>
    <col min="7172" max="7172" width="13.85546875" customWidth="1"/>
    <col min="7174" max="7174" width="3.7109375" customWidth="1"/>
    <col min="7424" max="7425" width="3.7109375" customWidth="1"/>
    <col min="7427" max="7427" width="12.85546875" customWidth="1"/>
    <col min="7428" max="7428" width="13.85546875" customWidth="1"/>
    <col min="7430" max="7430" width="3.7109375" customWidth="1"/>
    <col min="7680" max="7681" width="3.7109375" customWidth="1"/>
    <col min="7683" max="7683" width="12.85546875" customWidth="1"/>
    <col min="7684" max="7684" width="13.85546875" customWidth="1"/>
    <col min="7686" max="7686" width="3.7109375" customWidth="1"/>
    <col min="7936" max="7937" width="3.7109375" customWidth="1"/>
    <col min="7939" max="7939" width="12.85546875" customWidth="1"/>
    <col min="7940" max="7940" width="13.85546875" customWidth="1"/>
    <col min="7942" max="7942" width="3.7109375" customWidth="1"/>
    <col min="8192" max="8193" width="3.7109375" customWidth="1"/>
    <col min="8195" max="8195" width="12.85546875" customWidth="1"/>
    <col min="8196" max="8196" width="13.85546875" customWidth="1"/>
    <col min="8198" max="8198" width="3.7109375" customWidth="1"/>
    <col min="8448" max="8449" width="3.7109375" customWidth="1"/>
    <col min="8451" max="8451" width="12.85546875" customWidth="1"/>
    <col min="8452" max="8452" width="13.85546875" customWidth="1"/>
    <col min="8454" max="8454" width="3.7109375" customWidth="1"/>
    <col min="8704" max="8705" width="3.7109375" customWidth="1"/>
    <col min="8707" max="8707" width="12.85546875" customWidth="1"/>
    <col min="8708" max="8708" width="13.85546875" customWidth="1"/>
    <col min="8710" max="8710" width="3.7109375" customWidth="1"/>
    <col min="8960" max="8961" width="3.7109375" customWidth="1"/>
    <col min="8963" max="8963" width="12.85546875" customWidth="1"/>
    <col min="8964" max="8964" width="13.85546875" customWidth="1"/>
    <col min="8966" max="8966" width="3.7109375" customWidth="1"/>
    <col min="9216" max="9217" width="3.7109375" customWidth="1"/>
    <col min="9219" max="9219" width="12.85546875" customWidth="1"/>
    <col min="9220" max="9220" width="13.85546875" customWidth="1"/>
    <col min="9222" max="9222" width="3.7109375" customWidth="1"/>
    <col min="9472" max="9473" width="3.7109375" customWidth="1"/>
    <col min="9475" max="9475" width="12.85546875" customWidth="1"/>
    <col min="9476" max="9476" width="13.85546875" customWidth="1"/>
    <col min="9478" max="9478" width="3.7109375" customWidth="1"/>
    <col min="9728" max="9729" width="3.7109375" customWidth="1"/>
    <col min="9731" max="9731" width="12.85546875" customWidth="1"/>
    <col min="9732" max="9732" width="13.85546875" customWidth="1"/>
    <col min="9734" max="9734" width="3.7109375" customWidth="1"/>
    <col min="9984" max="9985" width="3.7109375" customWidth="1"/>
    <col min="9987" max="9987" width="12.85546875" customWidth="1"/>
    <col min="9988" max="9988" width="13.85546875" customWidth="1"/>
    <col min="9990" max="9990" width="3.7109375" customWidth="1"/>
    <col min="10240" max="10241" width="3.7109375" customWidth="1"/>
    <col min="10243" max="10243" width="12.85546875" customWidth="1"/>
    <col min="10244" max="10244" width="13.85546875" customWidth="1"/>
    <col min="10246" max="10246" width="3.7109375" customWidth="1"/>
    <col min="10496" max="10497" width="3.7109375" customWidth="1"/>
    <col min="10499" max="10499" width="12.85546875" customWidth="1"/>
    <col min="10500" max="10500" width="13.85546875" customWidth="1"/>
    <col min="10502" max="10502" width="3.7109375" customWidth="1"/>
    <col min="10752" max="10753" width="3.7109375" customWidth="1"/>
    <col min="10755" max="10755" width="12.85546875" customWidth="1"/>
    <col min="10756" max="10756" width="13.85546875" customWidth="1"/>
    <col min="10758" max="10758" width="3.7109375" customWidth="1"/>
    <col min="11008" max="11009" width="3.7109375" customWidth="1"/>
    <col min="11011" max="11011" width="12.85546875" customWidth="1"/>
    <col min="11012" max="11012" width="13.85546875" customWidth="1"/>
    <col min="11014" max="11014" width="3.7109375" customWidth="1"/>
    <col min="11264" max="11265" width="3.7109375" customWidth="1"/>
    <col min="11267" max="11267" width="12.85546875" customWidth="1"/>
    <col min="11268" max="11268" width="13.85546875" customWidth="1"/>
    <col min="11270" max="11270" width="3.7109375" customWidth="1"/>
    <col min="11520" max="11521" width="3.7109375" customWidth="1"/>
    <col min="11523" max="11523" width="12.85546875" customWidth="1"/>
    <col min="11524" max="11524" width="13.85546875" customWidth="1"/>
    <col min="11526" max="11526" width="3.7109375" customWidth="1"/>
    <col min="11776" max="11777" width="3.7109375" customWidth="1"/>
    <col min="11779" max="11779" width="12.85546875" customWidth="1"/>
    <col min="11780" max="11780" width="13.85546875" customWidth="1"/>
    <col min="11782" max="11782" width="3.7109375" customWidth="1"/>
    <col min="12032" max="12033" width="3.7109375" customWidth="1"/>
    <col min="12035" max="12035" width="12.85546875" customWidth="1"/>
    <col min="12036" max="12036" width="13.85546875" customWidth="1"/>
    <col min="12038" max="12038" width="3.7109375" customWidth="1"/>
    <col min="12288" max="12289" width="3.7109375" customWidth="1"/>
    <col min="12291" max="12291" width="12.85546875" customWidth="1"/>
    <col min="12292" max="12292" width="13.85546875" customWidth="1"/>
    <col min="12294" max="12294" width="3.7109375" customWidth="1"/>
    <col min="12544" max="12545" width="3.7109375" customWidth="1"/>
    <col min="12547" max="12547" width="12.85546875" customWidth="1"/>
    <col min="12548" max="12548" width="13.85546875" customWidth="1"/>
    <col min="12550" max="12550" width="3.7109375" customWidth="1"/>
    <col min="12800" max="12801" width="3.7109375" customWidth="1"/>
    <col min="12803" max="12803" width="12.85546875" customWidth="1"/>
    <col min="12804" max="12804" width="13.85546875" customWidth="1"/>
    <col min="12806" max="12806" width="3.7109375" customWidth="1"/>
    <col min="13056" max="13057" width="3.7109375" customWidth="1"/>
    <col min="13059" max="13059" width="12.85546875" customWidth="1"/>
    <col min="13060" max="13060" width="13.85546875" customWidth="1"/>
    <col min="13062" max="13062" width="3.7109375" customWidth="1"/>
    <col min="13312" max="13313" width="3.7109375" customWidth="1"/>
    <col min="13315" max="13315" width="12.85546875" customWidth="1"/>
    <col min="13316" max="13316" width="13.85546875" customWidth="1"/>
    <col min="13318" max="13318" width="3.7109375" customWidth="1"/>
    <col min="13568" max="13569" width="3.7109375" customWidth="1"/>
    <col min="13571" max="13571" width="12.85546875" customWidth="1"/>
    <col min="13572" max="13572" width="13.85546875" customWidth="1"/>
    <col min="13574" max="13574" width="3.7109375" customWidth="1"/>
    <col min="13824" max="13825" width="3.7109375" customWidth="1"/>
    <col min="13827" max="13827" width="12.85546875" customWidth="1"/>
    <col min="13828" max="13828" width="13.85546875" customWidth="1"/>
    <col min="13830" max="13830" width="3.7109375" customWidth="1"/>
    <col min="14080" max="14081" width="3.7109375" customWidth="1"/>
    <col min="14083" max="14083" width="12.85546875" customWidth="1"/>
    <col min="14084" max="14084" width="13.85546875" customWidth="1"/>
    <col min="14086" max="14086" width="3.7109375" customWidth="1"/>
    <col min="14336" max="14337" width="3.7109375" customWidth="1"/>
    <col min="14339" max="14339" width="12.85546875" customWidth="1"/>
    <col min="14340" max="14340" width="13.85546875" customWidth="1"/>
    <col min="14342" max="14342" width="3.7109375" customWidth="1"/>
    <col min="14592" max="14593" width="3.7109375" customWidth="1"/>
    <col min="14595" max="14595" width="12.85546875" customWidth="1"/>
    <col min="14596" max="14596" width="13.85546875" customWidth="1"/>
    <col min="14598" max="14598" width="3.7109375" customWidth="1"/>
    <col min="14848" max="14849" width="3.7109375" customWidth="1"/>
    <col min="14851" max="14851" width="12.85546875" customWidth="1"/>
    <col min="14852" max="14852" width="13.85546875" customWidth="1"/>
    <col min="14854" max="14854" width="3.7109375" customWidth="1"/>
    <col min="15104" max="15105" width="3.7109375" customWidth="1"/>
    <col min="15107" max="15107" width="12.85546875" customWidth="1"/>
    <col min="15108" max="15108" width="13.85546875" customWidth="1"/>
    <col min="15110" max="15110" width="3.7109375" customWidth="1"/>
    <col min="15360" max="15361" width="3.7109375" customWidth="1"/>
    <col min="15363" max="15363" width="12.85546875" customWidth="1"/>
    <col min="15364" max="15364" width="13.85546875" customWidth="1"/>
    <col min="15366" max="15366" width="3.7109375" customWidth="1"/>
    <col min="15616" max="15617" width="3.7109375" customWidth="1"/>
    <col min="15619" max="15619" width="12.85546875" customWidth="1"/>
    <col min="15620" max="15620" width="13.85546875" customWidth="1"/>
    <col min="15622" max="15622" width="3.7109375" customWidth="1"/>
    <col min="15872" max="15873" width="3.7109375" customWidth="1"/>
    <col min="15875" max="15875" width="12.85546875" customWidth="1"/>
    <col min="15876" max="15876" width="13.85546875" customWidth="1"/>
    <col min="15878" max="15878" width="3.7109375" customWidth="1"/>
    <col min="16128" max="16129" width="3.7109375" customWidth="1"/>
    <col min="16131" max="16131" width="12.85546875" customWidth="1"/>
    <col min="16132" max="16132" width="13.85546875" customWidth="1"/>
    <col min="16134" max="16134" width="3.7109375" customWidth="1"/>
  </cols>
  <sheetData>
    <row r="1" spans="3:7" ht="15" customHeight="1">
      <c r="D1" s="325"/>
      <c r="E1" s="326"/>
    </row>
    <row r="2" spans="3:7" ht="15" customHeight="1">
      <c r="C2" s="327">
        <v>2019</v>
      </c>
      <c r="D2" s="328" t="s">
        <v>2802</v>
      </c>
      <c r="E2" s="329">
        <v>1.8E-3</v>
      </c>
      <c r="F2" s="330"/>
      <c r="G2" s="331"/>
    </row>
    <row r="3" spans="3:7" ht="15" customHeight="1">
      <c r="C3" s="331"/>
      <c r="D3" s="328" t="s">
        <v>2803</v>
      </c>
      <c r="E3" s="329">
        <v>4.0000000000000002E-4</v>
      </c>
      <c r="F3" s="331"/>
      <c r="G3" s="331"/>
    </row>
    <row r="4" spans="3:7" ht="15" customHeight="1">
      <c r="C4" s="331"/>
      <c r="D4" s="332" t="s">
        <v>2804</v>
      </c>
      <c r="E4" s="333">
        <v>2.0999999999999999E-3</v>
      </c>
      <c r="F4" s="334">
        <f>SUM(E2:E4)</f>
        <v>4.3E-3</v>
      </c>
      <c r="G4" s="331"/>
    </row>
    <row r="5" spans="3:7" ht="15" customHeight="1">
      <c r="C5" s="327">
        <v>2020</v>
      </c>
      <c r="D5" s="335" t="s">
        <v>2805</v>
      </c>
      <c r="E5" s="336">
        <v>3.8E-3</v>
      </c>
      <c r="F5" s="331"/>
      <c r="G5" s="331"/>
    </row>
    <row r="6" spans="3:7" ht="15" customHeight="1">
      <c r="C6" s="331"/>
      <c r="D6" s="328" t="s">
        <v>2806</v>
      </c>
      <c r="E6" s="329">
        <v>3.3E-3</v>
      </c>
      <c r="F6" s="331"/>
      <c r="G6" s="331"/>
    </row>
    <row r="7" spans="3:7" ht="15" customHeight="1">
      <c r="C7" s="331"/>
      <c r="D7" s="328" t="s">
        <v>2807</v>
      </c>
      <c r="E7" s="329">
        <v>2.5999999999999999E-3</v>
      </c>
      <c r="F7" s="331"/>
      <c r="G7" s="331"/>
    </row>
    <row r="8" spans="3:7" ht="15" customHeight="1">
      <c r="C8" s="331"/>
      <c r="D8" s="328" t="s">
        <v>2808</v>
      </c>
      <c r="E8" s="329">
        <v>2.2000000000000001E-3</v>
      </c>
      <c r="F8" s="331"/>
      <c r="G8" s="331"/>
    </row>
    <row r="9" spans="3:7" ht="15" customHeight="1">
      <c r="C9" s="331"/>
      <c r="D9" s="328" t="s">
        <v>2809</v>
      </c>
      <c r="E9" s="329">
        <v>2E-3</v>
      </c>
      <c r="F9" s="331"/>
      <c r="G9" s="331"/>
    </row>
    <row r="10" spans="3:7" ht="15" customHeight="1">
      <c r="C10" s="331"/>
      <c r="D10" s="328" t="s">
        <v>2810</v>
      </c>
      <c r="E10" s="329">
        <v>3.3999999999999998E-3</v>
      </c>
      <c r="F10" s="331"/>
      <c r="G10" s="331"/>
    </row>
    <row r="11" spans="3:7" ht="15" customHeight="1">
      <c r="C11" s="331"/>
      <c r="D11" s="328" t="s">
        <v>2811</v>
      </c>
      <c r="E11" s="329">
        <v>1.17E-2</v>
      </c>
      <c r="F11" s="331"/>
      <c r="G11" s="331"/>
    </row>
    <row r="12" spans="3:7" ht="15" customHeight="1">
      <c r="C12" s="331"/>
      <c r="D12" s="328" t="s">
        <v>2812</v>
      </c>
      <c r="E12" s="329">
        <v>7.1999999999999998E-3</v>
      </c>
      <c r="F12" s="331"/>
      <c r="G12" s="331"/>
    </row>
    <row r="13" spans="3:7" ht="15" customHeight="1">
      <c r="C13" s="331"/>
      <c r="D13" s="328" t="s">
        <v>2813</v>
      </c>
      <c r="E13" s="329">
        <v>1.1599999999999999E-2</v>
      </c>
      <c r="F13" s="331"/>
      <c r="G13" s="331"/>
    </row>
    <row r="14" spans="3:7" ht="15" customHeight="1">
      <c r="C14" s="331"/>
      <c r="D14" s="328" t="s">
        <v>2802</v>
      </c>
      <c r="E14" s="329">
        <v>1.7299999999999999E-2</v>
      </c>
      <c r="F14" s="331"/>
      <c r="G14" s="331"/>
    </row>
    <row r="15" spans="3:7" ht="15" customHeight="1">
      <c r="C15" s="331"/>
      <c r="D15" s="328" t="s">
        <v>2803</v>
      </c>
      <c r="E15" s="329">
        <v>1.2800000000000001E-2</v>
      </c>
      <c r="F15" s="331"/>
      <c r="G15" s="331"/>
    </row>
    <row r="16" spans="3:7" ht="15" customHeight="1">
      <c r="C16" s="331"/>
      <c r="D16" s="332" t="s">
        <v>2804</v>
      </c>
      <c r="E16" s="333">
        <v>7.0000000000000001E-3</v>
      </c>
      <c r="F16" s="334">
        <f>SUM(E5:E16)</f>
        <v>8.4900000000000003E-2</v>
      </c>
      <c r="G16" s="331"/>
    </row>
    <row r="17" spans="3:7" ht="15" customHeight="1">
      <c r="C17" s="327">
        <v>2021</v>
      </c>
      <c r="D17" s="335" t="s">
        <v>2805</v>
      </c>
      <c r="E17" s="336">
        <v>8.8999999999999999E-3</v>
      </c>
      <c r="F17" s="331"/>
      <c r="G17" s="331"/>
    </row>
    <row r="18" spans="3:7" ht="15" customHeight="1">
      <c r="C18" s="331"/>
      <c r="D18" s="328" t="s">
        <v>2806</v>
      </c>
      <c r="E18" s="329">
        <v>1.89E-2</v>
      </c>
      <c r="F18" s="331"/>
      <c r="G18" s="331"/>
    </row>
    <row r="19" spans="3:7" ht="15" customHeight="1">
      <c r="C19" s="331"/>
      <c r="D19" s="328" t="s">
        <v>2807</v>
      </c>
      <c r="E19" s="329">
        <v>1.2999999999999999E-2</v>
      </c>
      <c r="F19" s="331"/>
      <c r="G19" s="331"/>
    </row>
    <row r="20" spans="3:7" ht="15" customHeight="1">
      <c r="C20" s="331"/>
      <c r="D20" s="328" t="s">
        <v>2808</v>
      </c>
      <c r="E20" s="329">
        <v>8.9999999999999993E-3</v>
      </c>
      <c r="F20" s="331"/>
      <c r="G20" s="331"/>
    </row>
    <row r="21" spans="3:7" ht="15" customHeight="1">
      <c r="C21" s="331"/>
      <c r="D21" s="328" t="s">
        <v>2809</v>
      </c>
      <c r="E21" s="329">
        <v>2.2200000000000001E-2</v>
      </c>
      <c r="F21" s="331"/>
      <c r="G21" s="331"/>
    </row>
    <row r="22" spans="3:7" ht="15" customHeight="1">
      <c r="C22" s="331"/>
      <c r="D22" s="328" t="s">
        <v>2810</v>
      </c>
      <c r="E22" s="329">
        <v>2.1600000000000001E-2</v>
      </c>
      <c r="F22" s="337"/>
      <c r="G22" s="331"/>
    </row>
    <row r="23" spans="3:7" ht="15" customHeight="1">
      <c r="C23" s="331"/>
      <c r="D23" s="328" t="s">
        <v>2814</v>
      </c>
      <c r="E23" s="329">
        <v>8.5000000000000006E-3</v>
      </c>
      <c r="F23" s="331"/>
      <c r="G23" s="331"/>
    </row>
    <row r="24" spans="3:7" ht="15" customHeight="1">
      <c r="D24" s="328" t="s">
        <v>2812</v>
      </c>
      <c r="E24" s="329">
        <v>4.5999999999999999E-3</v>
      </c>
    </row>
    <row r="25" spans="3:7" ht="15" customHeight="1">
      <c r="D25" s="328" t="s">
        <v>2813</v>
      </c>
      <c r="E25" s="329">
        <v>5.1000000000000004E-3</v>
      </c>
    </row>
    <row r="26" spans="3:7" ht="15" customHeight="1">
      <c r="D26" s="328" t="s">
        <v>2802</v>
      </c>
      <c r="E26" s="338">
        <v>8.6E-3</v>
      </c>
      <c r="F26" s="339"/>
    </row>
    <row r="27" spans="3:7" ht="15" customHeight="1">
      <c r="D27" s="328" t="s">
        <v>2803</v>
      </c>
      <c r="E27" s="329">
        <v>8.6E-3</v>
      </c>
    </row>
    <row r="28" spans="3:7" ht="15" customHeight="1">
      <c r="D28" s="340" t="s">
        <v>2804</v>
      </c>
      <c r="E28" s="341">
        <v>3.5000000000000001E-3</v>
      </c>
      <c r="F28" s="334">
        <f>SUM(E17:E28)</f>
        <v>0.13249999999999998</v>
      </c>
    </row>
    <row r="29" spans="3:7">
      <c r="C29" s="327">
        <v>2022</v>
      </c>
      <c r="D29" s="335" t="s">
        <v>2805</v>
      </c>
      <c r="E29" s="336">
        <v>7.1000000000000004E-3</v>
      </c>
      <c r="F29" s="331"/>
    </row>
    <row r="30" spans="3:7">
      <c r="D30" s="328" t="s">
        <v>2806</v>
      </c>
      <c r="E30" s="329">
        <v>3.8E-3</v>
      </c>
      <c r="F30" s="331"/>
    </row>
    <row r="31" spans="3:7">
      <c r="D31" s="328" t="s">
        <v>2807</v>
      </c>
      <c r="E31" s="329">
        <v>8.6E-3</v>
      </c>
      <c r="F31" s="331"/>
    </row>
    <row r="32" spans="3:7">
      <c r="D32" s="328" t="s">
        <v>2808</v>
      </c>
      <c r="E32" s="329">
        <v>9.4999999999999998E-3</v>
      </c>
      <c r="F32" s="331"/>
    </row>
    <row r="33" spans="4:6">
      <c r="D33" s="328" t="s">
        <v>2809</v>
      </c>
      <c r="E33" s="329">
        <v>2.2800000000000001E-2</v>
      </c>
      <c r="F33" s="331"/>
    </row>
    <row r="34" spans="4:6">
      <c r="D34" s="328" t="s">
        <v>2810</v>
      </c>
      <c r="E34" s="329">
        <v>2.1399999999999999E-2</v>
      </c>
      <c r="F34" s="337"/>
    </row>
    <row r="35" spans="4:6">
      <c r="D35" s="328" t="s">
        <v>2814</v>
      </c>
      <c r="E35" s="329">
        <v>8.6E-3</v>
      </c>
      <c r="F35" s="331"/>
    </row>
    <row r="36" spans="4:6">
      <c r="D36" s="328" t="s">
        <v>2812</v>
      </c>
      <c r="E36" s="329">
        <v>8.9999999999999998E-4</v>
      </c>
    </row>
    <row r="37" spans="4:6">
      <c r="D37" s="328" t="s">
        <v>2813</v>
      </c>
      <c r="E37" s="329">
        <v>8.9999999999999998E-4</v>
      </c>
    </row>
    <row r="38" spans="4:6">
      <c r="D38" s="340" t="s">
        <v>2802</v>
      </c>
      <c r="E38" s="341">
        <v>1.1999999999999999E-3</v>
      </c>
      <c r="F38" s="354">
        <f>SUM(E29:E38)</f>
        <v>8.48E-2</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4</vt:i4>
      </vt:variant>
    </vt:vector>
  </HeadingPairs>
  <TitlesOfParts>
    <vt:vector size="14" baseType="lpstr">
      <vt:lpstr>CAPA</vt:lpstr>
      <vt:lpstr>ORCA</vt:lpstr>
      <vt:lpstr>Não Financiável</vt:lpstr>
      <vt:lpstr>Financiável</vt:lpstr>
      <vt:lpstr>RESUMO</vt:lpstr>
      <vt:lpstr>CRONOGRAMA</vt:lpstr>
      <vt:lpstr>BDI</vt:lpstr>
      <vt:lpstr>CPU</vt:lpstr>
      <vt:lpstr>INCC-C</vt:lpstr>
      <vt:lpstr>Curva ABC</vt:lpstr>
      <vt:lpstr>BDI!Area_de_impressao</vt:lpstr>
      <vt:lpstr>CAPA!Area_de_impressao</vt:lpstr>
      <vt:lpstr>CRONOGRAMA!Area_de_impressao</vt:lpstr>
      <vt:lpstr>RESUMO!Area_de_impressao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IDEU</dc:creator>
  <cp:lastModifiedBy>2408422</cp:lastModifiedBy>
  <cp:lastPrinted>2022-02-23T17:14:52Z</cp:lastPrinted>
  <dcterms:created xsi:type="dcterms:W3CDTF">2019-12-11T21:23:40Z</dcterms:created>
  <dcterms:modified xsi:type="dcterms:W3CDTF">2023-06-22T13:48:37Z</dcterms:modified>
</cp:coreProperties>
</file>