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agostinho.tosto\Desktop\"/>
    </mc:Choice>
  </mc:AlternateContent>
  <xr:revisionPtr revIDLastSave="0" documentId="13_ncr:1_{92D3E825-4850-4B33-9FB9-7D9CA4CC640B}" xr6:coauthVersionLast="47" xr6:coauthVersionMax="47" xr10:uidLastSave="{00000000-0000-0000-0000-000000000000}"/>
  <bookViews>
    <workbookView xWindow="23880" yWindow="-120" windowWidth="21840" windowHeight="13140" tabRatio="636" xr2:uid="{00000000-000D-0000-FFFF-FFFF00000000}"/>
  </bookViews>
  <sheets>
    <sheet name="CAPA" sheetId="8" r:id="rId1"/>
    <sheet name="ORCA" sheetId="1" r:id="rId2"/>
    <sheet name="Não Financiável" sheetId="9" r:id="rId3"/>
    <sheet name="Financiável" sheetId="10" r:id="rId4"/>
    <sheet name="RESUMO" sheetId="2" r:id="rId5"/>
    <sheet name="CRONOGRAMA" sheetId="3" r:id="rId6"/>
    <sheet name="BDI" sheetId="4" r:id="rId7"/>
    <sheet name="CPU" sheetId="7" r:id="rId8"/>
    <sheet name="INCC-C" sheetId="11" r:id="rId9"/>
  </sheets>
  <externalReferences>
    <externalReference r:id="rId10"/>
    <externalReference r:id="rId11"/>
    <externalReference r:id="rId12"/>
    <externalReference r:id="rId13"/>
  </externalReferences>
  <definedNames>
    <definedName name="_xlnm.Print_Area" localSheetId="6">BDI!$A$1:$E$52</definedName>
    <definedName name="_xlnm.Print_Area" localSheetId="0">CAPA!$A$1:$P$56</definedName>
    <definedName name="_xlnm.Print_Area" localSheetId="5">CRONOGRAMA!$A$1:$S$99</definedName>
    <definedName name="_xlnm.Print_Area" localSheetId="4">RESUMO!$A$1:$E$69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5" i="8" l="1"/>
  <c r="M43" i="8"/>
  <c r="M42" i="8"/>
  <c r="G322" i="1"/>
  <c r="G310" i="10"/>
  <c r="H22" i="9"/>
  <c r="H30" i="9"/>
  <c r="H37" i="9"/>
  <c r="H55" i="9"/>
  <c r="G298" i="1"/>
  <c r="G315" i="1"/>
  <c r="G160" i="10"/>
  <c r="G303" i="10"/>
  <c r="G40" i="9" l="1"/>
  <c r="G681" i="1"/>
  <c r="G1620" i="7"/>
  <c r="G1619" i="7"/>
  <c r="G1603" i="7"/>
  <c r="G1569" i="7"/>
  <c r="G1553" i="7"/>
  <c r="G1549" i="7"/>
  <c r="G1534" i="7"/>
  <c r="G1528" i="7"/>
  <c r="G1508" i="7"/>
  <c r="G1506" i="7"/>
  <c r="G1490" i="7"/>
  <c r="G1488" i="7"/>
  <c r="G1486" i="7"/>
  <c r="G1479" i="7"/>
  <c r="G1460" i="7"/>
  <c r="G1450" i="7"/>
  <c r="G1449" i="7"/>
  <c r="G1448" i="7"/>
  <c r="G1446" i="7"/>
  <c r="G1445" i="7"/>
  <c r="G1441" i="7"/>
  <c r="G1434" i="7"/>
  <c r="G1433" i="7"/>
  <c r="G1431" i="7"/>
  <c r="G1430" i="7"/>
  <c r="G1425" i="7"/>
  <c r="G1361" i="7"/>
  <c r="G1300" i="7"/>
  <c r="G1299" i="7"/>
  <c r="G1297" i="7"/>
  <c r="G1293" i="7"/>
  <c r="G1286" i="7"/>
  <c r="G1285" i="7"/>
  <c r="G1283" i="7"/>
  <c r="G1282" i="7"/>
  <c r="G1277" i="7"/>
  <c r="G1271" i="7"/>
  <c r="G1270" i="7"/>
  <c r="G1267" i="7"/>
  <c r="G1266" i="7"/>
  <c r="G1263" i="7"/>
  <c r="G1262" i="7"/>
  <c r="G1256" i="7"/>
  <c r="G1255" i="7"/>
  <c r="G1254" i="7"/>
  <c r="G1252" i="7"/>
  <c r="G1251" i="7"/>
  <c r="G1248" i="7"/>
  <c r="G1247" i="7"/>
  <c r="G1241" i="7"/>
  <c r="G1240" i="7"/>
  <c r="G1237" i="7"/>
  <c r="G1233" i="7"/>
  <c r="G1232" i="7"/>
  <c r="G1198" i="7"/>
  <c r="G1189" i="7"/>
  <c r="G1180" i="7"/>
  <c r="G1171" i="7"/>
  <c r="G1162" i="7"/>
  <c r="G1153" i="7"/>
  <c r="G1113" i="7"/>
  <c r="G1112" i="7"/>
  <c r="G1061" i="7"/>
  <c r="G1057" i="7"/>
  <c r="G1042" i="7"/>
  <c r="G1023" i="7"/>
  <c r="G1018" i="7"/>
  <c r="G1008" i="7"/>
  <c r="G968" i="7"/>
  <c r="G967" i="7"/>
  <c r="G965" i="7"/>
  <c r="G963" i="7"/>
  <c r="G962" i="7"/>
  <c r="G949" i="7"/>
  <c r="G941" i="7"/>
  <c r="G933" i="7"/>
  <c r="G923" i="7"/>
  <c r="G911" i="7"/>
  <c r="G891" i="7"/>
  <c r="G890" i="7"/>
  <c r="G881" i="7"/>
  <c r="G880" i="7"/>
  <c r="G871" i="7"/>
  <c r="G870" i="7"/>
  <c r="G861" i="7"/>
  <c r="G860" i="7"/>
  <c r="G852" i="7"/>
  <c r="G851" i="7"/>
  <c r="G828" i="7"/>
  <c r="G826" i="7"/>
  <c r="G806" i="7"/>
  <c r="G775" i="7"/>
  <c r="G733" i="7"/>
  <c r="G723" i="7"/>
  <c r="G675" i="7"/>
  <c r="G671" i="7"/>
  <c r="G667" i="7"/>
  <c r="G656" i="7"/>
  <c r="G627" i="7"/>
  <c r="G619" i="7"/>
  <c r="G618" i="7"/>
  <c r="G606" i="7"/>
  <c r="G600" i="7"/>
  <c r="G599" i="7"/>
  <c r="G598" i="7"/>
  <c r="G597" i="7"/>
  <c r="G596" i="7"/>
  <c r="G595" i="7"/>
  <c r="G594" i="7"/>
  <c r="G593" i="7"/>
  <c r="G586" i="7"/>
  <c r="G581" i="7"/>
  <c r="G580" i="7"/>
  <c r="G579" i="7"/>
  <c r="G578" i="7"/>
  <c r="G577" i="7"/>
  <c r="G576" i="7"/>
  <c r="G575" i="7"/>
  <c r="G574" i="7"/>
  <c r="G573" i="7"/>
  <c r="G566" i="7"/>
  <c r="G561" i="7"/>
  <c r="G560" i="7"/>
  <c r="G559" i="7"/>
  <c r="G558" i="7"/>
  <c r="G557" i="7"/>
  <c r="G556" i="7"/>
  <c r="G555" i="7"/>
  <c r="G554" i="7"/>
  <c r="G553" i="7"/>
  <c r="G546" i="7"/>
  <c r="G541" i="7"/>
  <c r="G540" i="7"/>
  <c r="G539" i="7"/>
  <c r="G538" i="7"/>
  <c r="G537" i="7"/>
  <c r="G536" i="7"/>
  <c r="G535" i="7"/>
  <c r="G534" i="7"/>
  <c r="G533" i="7"/>
  <c r="G526" i="7"/>
  <c r="G519" i="7"/>
  <c r="G518" i="7"/>
  <c r="G517" i="7"/>
  <c r="G516" i="7"/>
  <c r="G515" i="7"/>
  <c r="G514" i="7"/>
  <c r="G513" i="7"/>
  <c r="G512" i="7"/>
  <c r="G511" i="7"/>
  <c r="G510" i="7"/>
  <c r="G503" i="7"/>
  <c r="G497" i="7"/>
  <c r="G496" i="7"/>
  <c r="G495" i="7"/>
  <c r="G494" i="7"/>
  <c r="G493" i="7"/>
  <c r="G492" i="7"/>
  <c r="G491" i="7"/>
  <c r="G484" i="7"/>
  <c r="G478" i="7"/>
  <c r="G477" i="7"/>
  <c r="G476" i="7"/>
  <c r="G475" i="7"/>
  <c r="G474" i="7"/>
  <c r="G473" i="7"/>
  <c r="G466" i="7"/>
  <c r="G460" i="7"/>
  <c r="G459" i="7"/>
  <c r="G458" i="7"/>
  <c r="G457" i="7"/>
  <c r="G456" i="7"/>
  <c r="G455" i="7"/>
  <c r="G454" i="7"/>
  <c r="G447" i="7"/>
  <c r="G441" i="7"/>
  <c r="G440" i="7"/>
  <c r="G439" i="7"/>
  <c r="G438" i="7"/>
  <c r="G437" i="7"/>
  <c r="G436" i="7"/>
  <c r="G435" i="7"/>
  <c r="G434" i="7"/>
  <c r="G428" i="7"/>
  <c r="G424" i="7"/>
  <c r="G423" i="7"/>
  <c r="G422" i="7"/>
  <c r="G421" i="7"/>
  <c r="G420" i="7"/>
  <c r="G419" i="7"/>
  <c r="G418" i="7"/>
  <c r="G417" i="7"/>
  <c r="G416" i="7"/>
  <c r="G409" i="7"/>
  <c r="G405" i="7"/>
  <c r="G404" i="7"/>
  <c r="G403" i="7"/>
  <c r="G402" i="7"/>
  <c r="G401" i="7"/>
  <c r="G400" i="7"/>
  <c r="G399" i="7"/>
  <c r="G398" i="7"/>
  <c r="G397" i="7"/>
  <c r="G396" i="7"/>
  <c r="G390" i="7"/>
  <c r="G386" i="7"/>
  <c r="G385" i="7"/>
  <c r="G384" i="7"/>
  <c r="G383" i="7"/>
  <c r="G382" i="7"/>
  <c r="G381" i="7"/>
  <c r="G380" i="7"/>
  <c r="G379" i="7"/>
  <c r="G378" i="7"/>
  <c r="G371" i="7"/>
  <c r="G367" i="7"/>
  <c r="G366" i="7"/>
  <c r="G365" i="7"/>
  <c r="G364" i="7"/>
  <c r="G363" i="7"/>
  <c r="G362" i="7"/>
  <c r="G361" i="7"/>
  <c r="G360" i="7"/>
  <c r="G359" i="7"/>
  <c r="G358" i="7"/>
  <c r="G351" i="7"/>
  <c r="G347" i="7"/>
  <c r="G346" i="7"/>
  <c r="G345" i="7"/>
  <c r="G344" i="7"/>
  <c r="G343" i="7"/>
  <c r="G342" i="7"/>
  <c r="G341" i="7"/>
  <c r="G340" i="7"/>
  <c r="G339" i="7"/>
  <c r="G338" i="7"/>
  <c r="G330" i="7"/>
  <c r="G326" i="7"/>
  <c r="G325" i="7"/>
  <c r="G324" i="7"/>
  <c r="G323" i="7"/>
  <c r="G322" i="7"/>
  <c r="G321" i="7"/>
  <c r="G320" i="7"/>
  <c r="G319" i="7"/>
  <c r="G318" i="7"/>
  <c r="G310" i="7"/>
  <c r="G305" i="7"/>
  <c r="G304" i="7"/>
  <c r="G303" i="7"/>
  <c r="G302" i="7"/>
  <c r="G301" i="7"/>
  <c r="G300" i="7"/>
  <c r="G299" i="7"/>
  <c r="G298" i="7"/>
  <c r="G297" i="7"/>
  <c r="G286" i="7"/>
  <c r="G285" i="7"/>
  <c r="G284" i="7"/>
  <c r="G283" i="7"/>
  <c r="G282" i="7"/>
  <c r="G281" i="7"/>
  <c r="G280" i="7"/>
  <c r="G279" i="7"/>
  <c r="G278" i="7"/>
  <c r="G277" i="7"/>
  <c r="G260" i="7"/>
  <c r="G257" i="7"/>
  <c r="G235" i="7"/>
  <c r="G231" i="7"/>
  <c r="G158" i="7"/>
  <c r="G149" i="7"/>
  <c r="G87" i="7"/>
  <c r="G73" i="7"/>
  <c r="G65" i="7"/>
  <c r="G57" i="7"/>
  <c r="G51" i="7"/>
  <c r="F28" i="11" l="1"/>
  <c r="F16" i="11"/>
  <c r="F4" i="11"/>
  <c r="H28" i="11" s="1"/>
  <c r="H665" i="10" l="1"/>
  <c r="H658" i="10"/>
  <c r="H656" i="10"/>
  <c r="H654" i="10"/>
  <c r="H653" i="10"/>
  <c r="H648" i="10"/>
  <c r="H646" i="10"/>
  <c r="H644" i="10"/>
  <c r="H641" i="10"/>
  <c r="H638" i="10"/>
  <c r="H637" i="10"/>
  <c r="H636" i="10"/>
  <c r="H635" i="10"/>
  <c r="H634" i="10"/>
  <c r="H633" i="10"/>
  <c r="H632" i="10"/>
  <c r="H631" i="10"/>
  <c r="H630" i="10"/>
  <c r="H629" i="10"/>
  <c r="H626" i="10"/>
  <c r="H611" i="10"/>
  <c r="H610" i="10"/>
  <c r="H612" i="10" s="1"/>
  <c r="H604" i="10"/>
  <c r="H603" i="10"/>
  <c r="H602" i="10"/>
  <c r="H601" i="10"/>
  <c r="H600" i="10"/>
  <c r="H594" i="10"/>
  <c r="H593" i="10"/>
  <c r="H592" i="10"/>
  <c r="H591" i="10"/>
  <c r="H590" i="10"/>
  <c r="H589" i="10"/>
  <c r="H588" i="10"/>
  <c r="H587" i="10"/>
  <c r="H586" i="10"/>
  <c r="H585" i="10"/>
  <c r="H582" i="10"/>
  <c r="H581" i="10"/>
  <c r="H580" i="10"/>
  <c r="H579" i="10"/>
  <c r="H573" i="10"/>
  <c r="H572" i="10"/>
  <c r="H571" i="10"/>
  <c r="H568" i="10"/>
  <c r="H567" i="10"/>
  <c r="H566" i="10"/>
  <c r="H565" i="10"/>
  <c r="H564" i="10"/>
  <c r="H563" i="10"/>
  <c r="H562" i="10"/>
  <c r="H561" i="10"/>
  <c r="H560" i="10"/>
  <c r="H552" i="10"/>
  <c r="H551" i="10"/>
  <c r="H549" i="10"/>
  <c r="H548" i="10"/>
  <c r="H541" i="10"/>
  <c r="H536" i="10"/>
  <c r="H535" i="10"/>
  <c r="H534" i="10"/>
  <c r="H531" i="10"/>
  <c r="H530" i="10"/>
  <c r="H529" i="10"/>
  <c r="H528" i="10"/>
  <c r="H526" i="10"/>
  <c r="H517" i="10"/>
  <c r="H516" i="10"/>
  <c r="H515" i="10"/>
  <c r="H508" i="10"/>
  <c r="H507" i="10"/>
  <c r="H506" i="10"/>
  <c r="H505" i="10"/>
  <c r="H504" i="10"/>
  <c r="H501" i="10"/>
  <c r="H500" i="10"/>
  <c r="H499" i="10"/>
  <c r="H498" i="10"/>
  <c r="H497" i="10"/>
  <c r="H496" i="10"/>
  <c r="H494" i="10"/>
  <c r="H493" i="10"/>
  <c r="H492" i="10"/>
  <c r="H491" i="10"/>
  <c r="H490" i="10"/>
  <c r="H489" i="10"/>
  <c r="H488" i="10"/>
  <c r="H487" i="10"/>
  <c r="H486" i="10"/>
  <c r="H483" i="10"/>
  <c r="H482" i="10"/>
  <c r="H467" i="10"/>
  <c r="H466" i="10"/>
  <c r="H464" i="10"/>
  <c r="H456" i="10"/>
  <c r="H455" i="10"/>
  <c r="H453" i="10"/>
  <c r="H452" i="10"/>
  <c r="H451" i="10"/>
  <c r="H450" i="10"/>
  <c r="H448" i="10"/>
  <c r="H446" i="10"/>
  <c r="H445" i="10"/>
  <c r="H444" i="10"/>
  <c r="H443" i="10"/>
  <c r="H442" i="10"/>
  <c r="H441" i="10"/>
  <c r="H440" i="10"/>
  <c r="H439" i="10"/>
  <c r="H438" i="10"/>
  <c r="H437" i="10"/>
  <c r="H436" i="10"/>
  <c r="H435" i="10"/>
  <c r="H434" i="10"/>
  <c r="H433" i="10"/>
  <c r="H432" i="10"/>
  <c r="H431" i="10"/>
  <c r="H430" i="10"/>
  <c r="H429" i="10"/>
  <c r="H428" i="10"/>
  <c r="H427" i="10"/>
  <c r="H414" i="10"/>
  <c r="H413" i="10"/>
  <c r="H411" i="10"/>
  <c r="H410" i="10"/>
  <c r="H408" i="10"/>
  <c r="H407" i="10"/>
  <c r="H406" i="10"/>
  <c r="H405" i="10"/>
  <c r="H398" i="10"/>
  <c r="H395" i="10"/>
  <c r="H394" i="10"/>
  <c r="H393" i="10"/>
  <c r="H392" i="10"/>
  <c r="H391" i="10"/>
  <c r="H390" i="10"/>
  <c r="H389" i="10"/>
  <c r="H388" i="10"/>
  <c r="H387" i="10"/>
  <c r="H386" i="10"/>
  <c r="H383" i="10"/>
  <c r="H382" i="10"/>
  <c r="H381" i="10"/>
  <c r="H380" i="10"/>
  <c r="H379" i="10"/>
  <c r="H376" i="10"/>
  <c r="H375" i="10"/>
  <c r="H374" i="10"/>
  <c r="H373" i="10"/>
  <c r="H372" i="10"/>
  <c r="H371" i="10"/>
  <c r="H370" i="10"/>
  <c r="H369" i="10"/>
  <c r="H368" i="10"/>
  <c r="H367" i="10"/>
  <c r="H366" i="10"/>
  <c r="H365" i="10"/>
  <c r="H364" i="10"/>
  <c r="H363" i="10"/>
  <c r="H362" i="10"/>
  <c r="H361" i="10"/>
  <c r="H360" i="10"/>
  <c r="H359" i="10"/>
  <c r="H358" i="10"/>
  <c r="H352" i="10"/>
  <c r="H351" i="10"/>
  <c r="H350" i="10"/>
  <c r="H349" i="10"/>
  <c r="H348" i="10"/>
  <c r="H347" i="10"/>
  <c r="H346" i="10"/>
  <c r="H345" i="10"/>
  <c r="H344" i="10"/>
  <c r="H343" i="10"/>
  <c r="H342" i="10"/>
  <c r="H341" i="10"/>
  <c r="H340" i="10"/>
  <c r="H334" i="10"/>
  <c r="H333" i="10"/>
  <c r="H332" i="10"/>
  <c r="H328" i="10"/>
  <c r="H326" i="10"/>
  <c r="H325" i="10"/>
  <c r="H323" i="10"/>
  <c r="H321" i="10"/>
  <c r="H318" i="10"/>
  <c r="H316" i="10"/>
  <c r="H315" i="10"/>
  <c r="H311" i="10"/>
  <c r="H310" i="10"/>
  <c r="H309" i="10"/>
  <c r="H308" i="10"/>
  <c r="H305" i="10"/>
  <c r="H304" i="10"/>
  <c r="H303" i="10"/>
  <c r="H288" i="10"/>
  <c r="H282" i="10"/>
  <c r="H281" i="10"/>
  <c r="H280" i="10"/>
  <c r="H279" i="10"/>
  <c r="H278" i="10"/>
  <c r="H277" i="10"/>
  <c r="H265" i="10"/>
  <c r="H263" i="10"/>
  <c r="H262" i="10"/>
  <c r="H261" i="10"/>
  <c r="H260" i="10"/>
  <c r="H259" i="10"/>
  <c r="H254" i="10"/>
  <c r="H253" i="10"/>
  <c r="H250" i="10"/>
  <c r="H249" i="10"/>
  <c r="H248" i="10"/>
  <c r="H247" i="10"/>
  <c r="H246" i="10"/>
  <c r="H242" i="10"/>
  <c r="H241" i="10"/>
  <c r="H234" i="10"/>
  <c r="H213" i="10"/>
  <c r="H211" i="10"/>
  <c r="H188" i="10"/>
  <c r="H170" i="10"/>
  <c r="H169" i="10"/>
  <c r="H168" i="10"/>
  <c r="H167" i="10"/>
  <c r="H160" i="10"/>
  <c r="H152" i="10"/>
  <c r="H151" i="10"/>
  <c r="H150" i="10"/>
  <c r="H149" i="10"/>
  <c r="H145" i="10"/>
  <c r="H144" i="10"/>
  <c r="H143" i="10"/>
  <c r="H141" i="10"/>
  <c r="H136" i="10"/>
  <c r="H135" i="10"/>
  <c r="H133" i="10"/>
  <c r="H132" i="10"/>
  <c r="H129" i="10"/>
  <c r="H127" i="10"/>
  <c r="H126" i="10"/>
  <c r="H125" i="10"/>
  <c r="H124" i="10"/>
  <c r="H122" i="10"/>
  <c r="H114" i="10"/>
  <c r="H113" i="10"/>
  <c r="H111" i="10"/>
  <c r="H106" i="10"/>
  <c r="H105" i="10"/>
  <c r="H104" i="10"/>
  <c r="H103" i="10"/>
  <c r="H102" i="10"/>
  <c r="H101" i="10"/>
  <c r="H100" i="10"/>
  <c r="H99" i="10"/>
  <c r="H98" i="10"/>
  <c r="H97" i="10"/>
  <c r="H94" i="10"/>
  <c r="H92" i="10"/>
  <c r="H91" i="10"/>
  <c r="H90" i="10"/>
  <c r="H89" i="10"/>
  <c r="H88" i="10"/>
  <c r="H87" i="10"/>
  <c r="H85" i="10"/>
  <c r="H79" i="10"/>
  <c r="H75" i="10"/>
  <c r="H74" i="10"/>
  <c r="H73" i="10"/>
  <c r="H72" i="10"/>
  <c r="H71" i="10"/>
  <c r="H70" i="10"/>
  <c r="H68" i="10"/>
  <c r="H67" i="10"/>
  <c r="H65" i="10"/>
  <c r="H61" i="10"/>
  <c r="H60" i="10"/>
  <c r="H59" i="10"/>
  <c r="H57" i="10"/>
  <c r="H56" i="10"/>
  <c r="H55" i="10"/>
  <c r="H54" i="10"/>
  <c r="H53" i="10"/>
  <c r="H52" i="10"/>
  <c r="H40" i="10"/>
  <c r="H38" i="10"/>
  <c r="H37" i="10"/>
  <c r="H30" i="10"/>
  <c r="H29" i="10"/>
  <c r="H28" i="10"/>
  <c r="H27" i="10"/>
  <c r="H26" i="10"/>
  <c r="H25" i="10"/>
  <c r="H24" i="10"/>
  <c r="H23" i="10"/>
  <c r="H22" i="10"/>
  <c r="H54" i="9"/>
  <c r="H53" i="9"/>
  <c r="H52" i="9"/>
  <c r="H51" i="9"/>
  <c r="H50" i="9"/>
  <c r="H49" i="9"/>
  <c r="H48" i="9"/>
  <c r="H47" i="9"/>
  <c r="H46" i="9"/>
  <c r="H45" i="9"/>
  <c r="H44" i="9"/>
  <c r="H40" i="9"/>
  <c r="H41" i="9" s="1"/>
  <c r="H29" i="9"/>
  <c r="H28" i="9"/>
  <c r="H26" i="9"/>
  <c r="H25" i="9"/>
  <c r="E24" i="4"/>
  <c r="H110" i="1"/>
  <c r="H312" i="10" l="1"/>
  <c r="H255" i="10"/>
  <c r="H306" i="10"/>
  <c r="H335" i="10"/>
  <c r="H63" i="1"/>
  <c r="H64" i="1"/>
  <c r="H65" i="1"/>
  <c r="H66" i="1"/>
  <c r="H67" i="1"/>
  <c r="H68" i="1"/>
  <c r="H71" i="1"/>
  <c r="H72" i="1"/>
  <c r="H73" i="1"/>
  <c r="H42" i="7" l="1"/>
  <c r="H43" i="7"/>
  <c r="H1624" i="7" l="1"/>
  <c r="H1625" i="7" s="1"/>
  <c r="H1620" i="7"/>
  <c r="H1619" i="7"/>
  <c r="H1618" i="7"/>
  <c r="H1617" i="7"/>
  <c r="H1616" i="7"/>
  <c r="H1615" i="7"/>
  <c r="H1611" i="7"/>
  <c r="H1612" i="7" s="1"/>
  <c r="H1607" i="7"/>
  <c r="H1608" i="7" s="1"/>
  <c r="H1603" i="7"/>
  <c r="H1602" i="7"/>
  <c r="H1601" i="7"/>
  <c r="H1597" i="7"/>
  <c r="H1596" i="7"/>
  <c r="H1595" i="7"/>
  <c r="H1594" i="7"/>
  <c r="H1593" i="7"/>
  <c r="H1592" i="7"/>
  <c r="H1591" i="7"/>
  <c r="H1590" i="7"/>
  <c r="H1589" i="7"/>
  <c r="H1588" i="7"/>
  <c r="H1587" i="7"/>
  <c r="H1586" i="7"/>
  <c r="H1585" i="7"/>
  <c r="H1581" i="7"/>
  <c r="H1580" i="7"/>
  <c r="H1579" i="7"/>
  <c r="H1578" i="7"/>
  <c r="H1577" i="7"/>
  <c r="H1576" i="7"/>
  <c r="H1575" i="7"/>
  <c r="H1574" i="7"/>
  <c r="H1573" i="7"/>
  <c r="H1572" i="7"/>
  <c r="H1571" i="7"/>
  <c r="H1570" i="7"/>
  <c r="H1569" i="7"/>
  <c r="H1565" i="7"/>
  <c r="H1564" i="7"/>
  <c r="H1563" i="7"/>
  <c r="H1562" i="7"/>
  <c r="H1561" i="7"/>
  <c r="H1560" i="7"/>
  <c r="H1559" i="7"/>
  <c r="H1558" i="7"/>
  <c r="H1557" i="7"/>
  <c r="H1556" i="7"/>
  <c r="H1555" i="7"/>
  <c r="H1554" i="7"/>
  <c r="H1553" i="7"/>
  <c r="H1549" i="7"/>
  <c r="H1548" i="7"/>
  <c r="H1547" i="7"/>
  <c r="H1546" i="7"/>
  <c r="H1542" i="7"/>
  <c r="H1541" i="7"/>
  <c r="H1540" i="7"/>
  <c r="H1539" i="7"/>
  <c r="H1538" i="7"/>
  <c r="H1534" i="7"/>
  <c r="H1533" i="7"/>
  <c r="H1532" i="7"/>
  <c r="H1528" i="7"/>
  <c r="H1527" i="7"/>
  <c r="H1526" i="7"/>
  <c r="H1522" i="7"/>
  <c r="H1521" i="7"/>
  <c r="H1520" i="7"/>
  <c r="H1519" i="7"/>
  <c r="H1515" i="7"/>
  <c r="H1514" i="7"/>
  <c r="H1513" i="7"/>
  <c r="H1512" i="7"/>
  <c r="H1508" i="7"/>
  <c r="H1507" i="7"/>
  <c r="H1506" i="7"/>
  <c r="H1505" i="7"/>
  <c r="H1504" i="7"/>
  <c r="H1503" i="7"/>
  <c r="H1499" i="7"/>
  <c r="H1498" i="7"/>
  <c r="H1497" i="7"/>
  <c r="H1496" i="7"/>
  <c r="H1492" i="7"/>
  <c r="H1491" i="7"/>
  <c r="H1490" i="7"/>
  <c r="H1489" i="7"/>
  <c r="H1488" i="7"/>
  <c r="H1487" i="7"/>
  <c r="H1486" i="7"/>
  <c r="H1485" i="7"/>
  <c r="H1484" i="7"/>
  <c r="H1483" i="7"/>
  <c r="H1479" i="7"/>
  <c r="H1478" i="7"/>
  <c r="H1477" i="7"/>
  <c r="H1473" i="7"/>
  <c r="H1472" i="7"/>
  <c r="H1471" i="7"/>
  <c r="H1467" i="7"/>
  <c r="H1466" i="7"/>
  <c r="H1465" i="7"/>
  <c r="H1461" i="7"/>
  <c r="H1460" i="7"/>
  <c r="H1456" i="7"/>
  <c r="H1455" i="7"/>
  <c r="H1454" i="7"/>
  <c r="H1450" i="7"/>
  <c r="H1449" i="7"/>
  <c r="H1448" i="7"/>
  <c r="H1447" i="7"/>
  <c r="H1446" i="7"/>
  <c r="H1445" i="7"/>
  <c r="H1444" i="7"/>
  <c r="H1443" i="7"/>
  <c r="H1442" i="7"/>
  <c r="H1441" i="7"/>
  <c r="H1440" i="7"/>
  <c r="H1439" i="7"/>
  <c r="H1434" i="7"/>
  <c r="H1433" i="7"/>
  <c r="H1432" i="7"/>
  <c r="H1431" i="7"/>
  <c r="H1430" i="7"/>
  <c r="H1429" i="7"/>
  <c r="H1428" i="7"/>
  <c r="H1427" i="7"/>
  <c r="H1426" i="7"/>
  <c r="H1425" i="7"/>
  <c r="H1424" i="7"/>
  <c r="H1423" i="7"/>
  <c r="H1419" i="7"/>
  <c r="H1418" i="7"/>
  <c r="H1417" i="7"/>
  <c r="H1416" i="7"/>
  <c r="H1415" i="7"/>
  <c r="H1414" i="7"/>
  <c r="H1413" i="7"/>
  <c r="H1412" i="7"/>
  <c r="H1411" i="7"/>
  <c r="H1410" i="7"/>
  <c r="H1409" i="7"/>
  <c r="H1408" i="7"/>
  <c r="H1404" i="7"/>
  <c r="H1403" i="7"/>
  <c r="H1402" i="7"/>
  <c r="H1401" i="7"/>
  <c r="H1400" i="7"/>
  <c r="H1399" i="7"/>
  <c r="H1398" i="7"/>
  <c r="H1397" i="7"/>
  <c r="H1396" i="7"/>
  <c r="H1395" i="7"/>
  <c r="H1394" i="7"/>
  <c r="H1393" i="7"/>
  <c r="H1389" i="7"/>
  <c r="H1388" i="7"/>
  <c r="H1387" i="7"/>
  <c r="H1383" i="7"/>
  <c r="H1382" i="7"/>
  <c r="H1378" i="7"/>
  <c r="H1377" i="7"/>
  <c r="H1376" i="7"/>
  <c r="H1375" i="7"/>
  <c r="H1374" i="7"/>
  <c r="H1373" i="7"/>
  <c r="H1372" i="7"/>
  <c r="H1371" i="7"/>
  <c r="H1370" i="7"/>
  <c r="H1369" i="7"/>
  <c r="H1368" i="7"/>
  <c r="H1367" i="7"/>
  <c r="H1366" i="7"/>
  <c r="H1365" i="7"/>
  <c r="H1364" i="7"/>
  <c r="H1363" i="7"/>
  <c r="H1362" i="7"/>
  <c r="H1361" i="7"/>
  <c r="H1360" i="7"/>
  <c r="H1359" i="7"/>
  <c r="H1358" i="7"/>
  <c r="H1357" i="7"/>
  <c r="H1356" i="7"/>
  <c r="H1355" i="7"/>
  <c r="H1354" i="7"/>
  <c r="H1353" i="7"/>
  <c r="H1352" i="7"/>
  <c r="H1351" i="7"/>
  <c r="H1350" i="7"/>
  <c r="H1346" i="7"/>
  <c r="H1345" i="7"/>
  <c r="H1344" i="7"/>
  <c r="H1343" i="7"/>
  <c r="H1342" i="7"/>
  <c r="H1338" i="7"/>
  <c r="H1337" i="7"/>
  <c r="H1336" i="7"/>
  <c r="H1335" i="7"/>
  <c r="H1334" i="7"/>
  <c r="H1333" i="7"/>
  <c r="H1329" i="7"/>
  <c r="H1328" i="7"/>
  <c r="H1327" i="7"/>
  <c r="H1326" i="7"/>
  <c r="H1322" i="7"/>
  <c r="H1321" i="7"/>
  <c r="H1320" i="7"/>
  <c r="H1319" i="7"/>
  <c r="H1315" i="7"/>
  <c r="H1314" i="7"/>
  <c r="H1313" i="7"/>
  <c r="H1309" i="7"/>
  <c r="H1308" i="7"/>
  <c r="H1307" i="7"/>
  <c r="H1303" i="7"/>
  <c r="H1302" i="7"/>
  <c r="H1300" i="7"/>
  <c r="H1299" i="7"/>
  <c r="H1298" i="7"/>
  <c r="H1297" i="7"/>
  <c r="H1296" i="7"/>
  <c r="H1295" i="7"/>
  <c r="H1294" i="7"/>
  <c r="H1293" i="7"/>
  <c r="H1292" i="7"/>
  <c r="H1291" i="7"/>
  <c r="H1290" i="7"/>
  <c r="H1286" i="7"/>
  <c r="H1285" i="7"/>
  <c r="H1284" i="7"/>
  <c r="H1283" i="7"/>
  <c r="H1282" i="7"/>
  <c r="H1281" i="7"/>
  <c r="H1280" i="7"/>
  <c r="H1279" i="7"/>
  <c r="H1278" i="7"/>
  <c r="H1277" i="7"/>
  <c r="H1276" i="7"/>
  <c r="H1275" i="7"/>
  <c r="H1271" i="7"/>
  <c r="H1270" i="7"/>
  <c r="H1269" i="7"/>
  <c r="H1268" i="7"/>
  <c r="H1267" i="7"/>
  <c r="H1266" i="7"/>
  <c r="H1265" i="7"/>
  <c r="H1264" i="7"/>
  <c r="H1263" i="7"/>
  <c r="H1262" i="7"/>
  <c r="H1261" i="7"/>
  <c r="H1260" i="7"/>
  <c r="H1256" i="7"/>
  <c r="H1255" i="7"/>
  <c r="H1254" i="7"/>
  <c r="H1253" i="7"/>
  <c r="H1252" i="7"/>
  <c r="H1251" i="7"/>
  <c r="H1250" i="7"/>
  <c r="H1249" i="7"/>
  <c r="H1248" i="7"/>
  <c r="H1247" i="7"/>
  <c r="H1246" i="7"/>
  <c r="H1245" i="7"/>
  <c r="H1241" i="7"/>
  <c r="H1240" i="7"/>
  <c r="H1239" i="7"/>
  <c r="H1238" i="7"/>
  <c r="H1237" i="7"/>
  <c r="H1236" i="7"/>
  <c r="H1235" i="7"/>
  <c r="H1234" i="7"/>
  <c r="H1233" i="7"/>
  <c r="H1232" i="7"/>
  <c r="H1231" i="7"/>
  <c r="H1230" i="7"/>
  <c r="H1226" i="7"/>
  <c r="H1225" i="7"/>
  <c r="H1224" i="7"/>
  <c r="H1223" i="7"/>
  <c r="H1222" i="7"/>
  <c r="H1221" i="7"/>
  <c r="H1220" i="7"/>
  <c r="H1219" i="7"/>
  <c r="H1218" i="7"/>
  <c r="H1217" i="7"/>
  <c r="H1216" i="7"/>
  <c r="H1212" i="7"/>
  <c r="H1211" i="7"/>
  <c r="H1210" i="7"/>
  <c r="H1209" i="7"/>
  <c r="H1208" i="7"/>
  <c r="H1207" i="7"/>
  <c r="H1203" i="7"/>
  <c r="H1202" i="7"/>
  <c r="H1201" i="7"/>
  <c r="H1200" i="7"/>
  <c r="H1199" i="7"/>
  <c r="H1198" i="7"/>
  <c r="H1194" i="7"/>
  <c r="H1193" i="7"/>
  <c r="H1192" i="7"/>
  <c r="H1191" i="7"/>
  <c r="H1190" i="7"/>
  <c r="H1189" i="7"/>
  <c r="H1185" i="7"/>
  <c r="H1184" i="7"/>
  <c r="H1183" i="7"/>
  <c r="H1182" i="7"/>
  <c r="H1181" i="7"/>
  <c r="H1180" i="7"/>
  <c r="H1176" i="7"/>
  <c r="H1175" i="7"/>
  <c r="H1174" i="7"/>
  <c r="H1173" i="7"/>
  <c r="H1172" i="7"/>
  <c r="H1171" i="7"/>
  <c r="H1167" i="7"/>
  <c r="H1166" i="7"/>
  <c r="H1165" i="7"/>
  <c r="H1164" i="7"/>
  <c r="H1163" i="7"/>
  <c r="H1162" i="7"/>
  <c r="H1158" i="7"/>
  <c r="H1157" i="7"/>
  <c r="H1156" i="7"/>
  <c r="H1155" i="7"/>
  <c r="H1154" i="7"/>
  <c r="H1153" i="7"/>
  <c r="H1149" i="7"/>
  <c r="H1148" i="7"/>
  <c r="H1147" i="7"/>
  <c r="H1146" i="7"/>
  <c r="H1145" i="7"/>
  <c r="H1144" i="7"/>
  <c r="H1143" i="7"/>
  <c r="H1139" i="7"/>
  <c r="H1138" i="7"/>
  <c r="H1137" i="7"/>
  <c r="H1136" i="7"/>
  <c r="H1135" i="7"/>
  <c r="H1134" i="7"/>
  <c r="H1133" i="7"/>
  <c r="H1129" i="7"/>
  <c r="H1128" i="7"/>
  <c r="H1127" i="7"/>
  <c r="H1126" i="7"/>
  <c r="H1125" i="7"/>
  <c r="H1124" i="7"/>
  <c r="H1123" i="7"/>
  <c r="H1122" i="7"/>
  <c r="H1121" i="7"/>
  <c r="H1120" i="7"/>
  <c r="H1119" i="7"/>
  <c r="H1115" i="7"/>
  <c r="H1114" i="7"/>
  <c r="H1113" i="7"/>
  <c r="H1112" i="7"/>
  <c r="H1111" i="7"/>
  <c r="H1110" i="7"/>
  <c r="H1109" i="7"/>
  <c r="H1108" i="7"/>
  <c r="H1107" i="7"/>
  <c r="H1106" i="7"/>
  <c r="H1102" i="7"/>
  <c r="H1101" i="7"/>
  <c r="H1100" i="7"/>
  <c r="H1099" i="7"/>
  <c r="H1095" i="7"/>
  <c r="H1094" i="7"/>
  <c r="H1093" i="7"/>
  <c r="H1092" i="7"/>
  <c r="H1091" i="7"/>
  <c r="H1087" i="7"/>
  <c r="H1086" i="7"/>
  <c r="H1085" i="7"/>
  <c r="H1084" i="7"/>
  <c r="H1083" i="7"/>
  <c r="H1079" i="7"/>
  <c r="H1078" i="7"/>
  <c r="H1077" i="7"/>
  <c r="H1076" i="7"/>
  <c r="H1072" i="7"/>
  <c r="H1071" i="7"/>
  <c r="H1070" i="7"/>
  <c r="H1069" i="7"/>
  <c r="H1068" i="7"/>
  <c r="H1067" i="7"/>
  <c r="H1066" i="7"/>
  <c r="H1065" i="7"/>
  <c r="H1061" i="7"/>
  <c r="H1060" i="7"/>
  <c r="H1059" i="7"/>
  <c r="H1058" i="7"/>
  <c r="H1057" i="7"/>
  <c r="H1056" i="7"/>
  <c r="H1055" i="7"/>
  <c r="H1051" i="7"/>
  <c r="H1050" i="7"/>
  <c r="H1049" i="7"/>
  <c r="H1048" i="7"/>
  <c r="H1047" i="7"/>
  <c r="H1046" i="7"/>
  <c r="H1045" i="7"/>
  <c r="H1044" i="7"/>
  <c r="H1043" i="7"/>
  <c r="H1042" i="7"/>
  <c r="H1038" i="7"/>
  <c r="H1037" i="7"/>
  <c r="H1036" i="7"/>
  <c r="H1035" i="7"/>
  <c r="H1034" i="7"/>
  <c r="H1033" i="7"/>
  <c r="H1032" i="7"/>
  <c r="H1031" i="7"/>
  <c r="H1030" i="7"/>
  <c r="H1029" i="7"/>
  <c r="H1028" i="7"/>
  <c r="H1027" i="7"/>
  <c r="H1026" i="7"/>
  <c r="H1025" i="7"/>
  <c r="H1023" i="7"/>
  <c r="H1022" i="7"/>
  <c r="H1021" i="7"/>
  <c r="H1020" i="7"/>
  <c r="H1019" i="7"/>
  <c r="H1018" i="7"/>
  <c r="H1017" i="7"/>
  <c r="H1013" i="7"/>
  <c r="H1012" i="7"/>
  <c r="H1011" i="7"/>
  <c r="H1010" i="7"/>
  <c r="H1009" i="7"/>
  <c r="H1008" i="7"/>
  <c r="H1004" i="7"/>
  <c r="H1003" i="7"/>
  <c r="H1002" i="7"/>
  <c r="H998" i="7"/>
  <c r="H997" i="7"/>
  <c r="H996" i="7"/>
  <c r="H992" i="7"/>
  <c r="H991" i="7"/>
  <c r="H990" i="7"/>
  <c r="H989" i="7"/>
  <c r="H988" i="7"/>
  <c r="H984" i="7"/>
  <c r="H983" i="7"/>
  <c r="H982" i="7"/>
  <c r="H978" i="7"/>
  <c r="H977" i="7"/>
  <c r="H976" i="7"/>
  <c r="H975" i="7"/>
  <c r="H974" i="7"/>
  <c r="H973" i="7"/>
  <c r="H972" i="7"/>
  <c r="H968" i="7"/>
  <c r="H967" i="7"/>
  <c r="H966" i="7"/>
  <c r="H965" i="7"/>
  <c r="H964" i="7"/>
  <c r="H963" i="7"/>
  <c r="H962" i="7"/>
  <c r="H961" i="7"/>
  <c r="H960" i="7"/>
  <c r="H959" i="7"/>
  <c r="H958" i="7"/>
  <c r="H957" i="7"/>
  <c r="H956" i="7"/>
  <c r="H955" i="7"/>
  <c r="H954" i="7"/>
  <c r="H950" i="7"/>
  <c r="H949" i="7"/>
  <c r="H948" i="7"/>
  <c r="H947" i="7"/>
  <c r="H946" i="7"/>
  <c r="H942" i="7"/>
  <c r="H941" i="7"/>
  <c r="H940" i="7"/>
  <c r="H939" i="7"/>
  <c r="H938" i="7"/>
  <c r="H934" i="7"/>
  <c r="H933" i="7"/>
  <c r="H932" i="7"/>
  <c r="H931" i="7"/>
  <c r="H930" i="7"/>
  <c r="H926" i="7"/>
  <c r="H925" i="7"/>
  <c r="H924" i="7"/>
  <c r="H923" i="7"/>
  <c r="H922" i="7"/>
  <c r="H921" i="7"/>
  <c r="H917" i="7"/>
  <c r="H916" i="7"/>
  <c r="H915" i="7"/>
  <c r="H914" i="7"/>
  <c r="H913" i="7"/>
  <c r="H912" i="7"/>
  <c r="H911" i="7"/>
  <c r="H910" i="7"/>
  <c r="H909" i="7"/>
  <c r="H908" i="7"/>
  <c r="H907" i="7"/>
  <c r="H906" i="7"/>
  <c r="H905" i="7"/>
  <c r="H901" i="7"/>
  <c r="H900" i="7"/>
  <c r="H896" i="7"/>
  <c r="H895" i="7"/>
  <c r="H894" i="7"/>
  <c r="H893" i="7"/>
  <c r="H892" i="7"/>
  <c r="H891" i="7"/>
  <c r="H890" i="7"/>
  <c r="H886" i="7"/>
  <c r="H885" i="7"/>
  <c r="H884" i="7"/>
  <c r="H883" i="7"/>
  <c r="H882" i="7"/>
  <c r="H881" i="7"/>
  <c r="H880" i="7"/>
  <c r="H876" i="7"/>
  <c r="H875" i="7"/>
  <c r="H874" i="7"/>
  <c r="H873" i="7"/>
  <c r="H872" i="7"/>
  <c r="H871" i="7"/>
  <c r="H870" i="7"/>
  <c r="H866" i="7"/>
  <c r="H865" i="7"/>
  <c r="H864" i="7"/>
  <c r="H863" i="7"/>
  <c r="H862" i="7"/>
  <c r="H861" i="7"/>
  <c r="H860" i="7"/>
  <c r="H857" i="7"/>
  <c r="H856" i="7"/>
  <c r="H855" i="7"/>
  <c r="H854" i="7"/>
  <c r="H853" i="7"/>
  <c r="H852" i="7"/>
  <c r="H851" i="7"/>
  <c r="H847" i="7"/>
  <c r="H846" i="7"/>
  <c r="H845" i="7"/>
  <c r="H844" i="7"/>
  <c r="H843" i="7"/>
  <c r="H842" i="7"/>
  <c r="H838" i="7"/>
  <c r="H837" i="7"/>
  <c r="H836" i="7"/>
  <c r="H835" i="7"/>
  <c r="H834" i="7"/>
  <c r="H833" i="7"/>
  <c r="H832" i="7"/>
  <c r="H828" i="7"/>
  <c r="H827" i="7"/>
  <c r="H826" i="7"/>
  <c r="H822" i="7"/>
  <c r="H821" i="7"/>
  <c r="H820" i="7"/>
  <c r="H819" i="7"/>
  <c r="H818" i="7"/>
  <c r="H814" i="7"/>
  <c r="H813" i="7"/>
  <c r="H812" i="7"/>
  <c r="H811" i="7"/>
  <c r="H810" i="7"/>
  <c r="H806" i="7"/>
  <c r="H805" i="7"/>
  <c r="H804" i="7"/>
  <c r="H803" i="7"/>
  <c r="H802" i="7"/>
  <c r="H798" i="7"/>
  <c r="H797" i="7"/>
  <c r="H796" i="7"/>
  <c r="H795" i="7"/>
  <c r="H791" i="7"/>
  <c r="H790" i="7"/>
  <c r="H789" i="7"/>
  <c r="H788" i="7"/>
  <c r="H787" i="7"/>
  <c r="H783" i="7"/>
  <c r="H782" i="7"/>
  <c r="H781" i="7"/>
  <c r="H780" i="7"/>
  <c r="H779" i="7"/>
  <c r="H775" i="7"/>
  <c r="H774" i="7"/>
  <c r="H773" i="7"/>
  <c r="H769" i="7"/>
  <c r="H768" i="7"/>
  <c r="H764" i="7"/>
  <c r="H763" i="7"/>
  <c r="H762" i="7"/>
  <c r="H761" i="7"/>
  <c r="H760" i="7"/>
  <c r="H759" i="7"/>
  <c r="H758" i="7"/>
  <c r="H757" i="7"/>
  <c r="H756" i="7"/>
  <c r="H755" i="7"/>
  <c r="H754" i="7"/>
  <c r="H753" i="7"/>
  <c r="H749" i="7"/>
  <c r="H748" i="7"/>
  <c r="H747" i="7"/>
  <c r="H746" i="7"/>
  <c r="H745" i="7"/>
  <c r="H744" i="7"/>
  <c r="H740" i="7"/>
  <c r="H739" i="7"/>
  <c r="H738" i="7"/>
  <c r="H737" i="7"/>
  <c r="H733" i="7"/>
  <c r="H732" i="7"/>
  <c r="H731" i="7"/>
  <c r="H727" i="7"/>
  <c r="H726" i="7"/>
  <c r="H725" i="7"/>
  <c r="H724" i="7"/>
  <c r="H723" i="7"/>
  <c r="H719" i="7"/>
  <c r="H718" i="7"/>
  <c r="H717" i="7"/>
  <c r="H716" i="7"/>
  <c r="H715" i="7"/>
  <c r="H711" i="7"/>
  <c r="H710" i="7"/>
  <c r="H709" i="7"/>
  <c r="H705" i="7"/>
  <c r="H704" i="7"/>
  <c r="H703" i="7"/>
  <c r="H702" i="7"/>
  <c r="H701" i="7"/>
  <c r="H700" i="7"/>
  <c r="H696" i="7"/>
  <c r="H695" i="7"/>
  <c r="H694" i="7"/>
  <c r="H693" i="7"/>
  <c r="H689" i="7"/>
  <c r="H688" i="7"/>
  <c r="H687" i="7"/>
  <c r="H686" i="7"/>
  <c r="H682" i="7"/>
  <c r="H681" i="7"/>
  <c r="H680" i="7"/>
  <c r="H679" i="7"/>
  <c r="H675" i="7"/>
  <c r="H676" i="7" s="1"/>
  <c r="H671" i="7"/>
  <c r="H672" i="7" s="1"/>
  <c r="H667" i="7"/>
  <c r="H668" i="7" s="1"/>
  <c r="H663" i="7"/>
  <c r="H662" i="7"/>
  <c r="H661" i="7"/>
  <c r="H660" i="7"/>
  <c r="H659" i="7"/>
  <c r="H658" i="7"/>
  <c r="H657" i="7"/>
  <c r="H656" i="7"/>
  <c r="H655" i="7"/>
  <c r="H654" i="7"/>
  <c r="H653" i="7"/>
  <c r="H649" i="7"/>
  <c r="H648" i="7"/>
  <c r="H647" i="7"/>
  <c r="H646" i="7"/>
  <c r="H645" i="7"/>
  <c r="H644" i="7"/>
  <c r="H643" i="7"/>
  <c r="H642" i="7"/>
  <c r="H641" i="7"/>
  <c r="H637" i="7"/>
  <c r="H636" i="7"/>
  <c r="H635" i="7"/>
  <c r="H634" i="7"/>
  <c r="H630" i="7"/>
  <c r="H629" i="7"/>
  <c r="H628" i="7"/>
  <c r="H627" i="7"/>
  <c r="H623" i="7"/>
  <c r="H622" i="7"/>
  <c r="H621" i="7"/>
  <c r="H620" i="7"/>
  <c r="H619" i="7"/>
  <c r="H618" i="7"/>
  <c r="H614" i="7"/>
  <c r="H613" i="7"/>
  <c r="H609" i="7"/>
  <c r="H608" i="7"/>
  <c r="H607" i="7"/>
  <c r="H606" i="7"/>
  <c r="H605" i="7"/>
  <c r="H604" i="7"/>
  <c r="H603" i="7"/>
  <c r="H602" i="7"/>
  <c r="H601" i="7"/>
  <c r="H600" i="7"/>
  <c r="H599" i="7"/>
  <c r="H598" i="7"/>
  <c r="H597" i="7"/>
  <c r="H596" i="7"/>
  <c r="H595" i="7"/>
  <c r="H594" i="7"/>
  <c r="H593" i="7"/>
  <c r="H589" i="7"/>
  <c r="H588" i="7"/>
  <c r="H587" i="7"/>
  <c r="H586" i="7"/>
  <c r="H585" i="7"/>
  <c r="H584" i="7"/>
  <c r="H583" i="7"/>
  <c r="H582" i="7"/>
  <c r="H581" i="7"/>
  <c r="H580" i="7"/>
  <c r="H579" i="7"/>
  <c r="H578" i="7"/>
  <c r="H577" i="7"/>
  <c r="H576" i="7"/>
  <c r="H575" i="7"/>
  <c r="H574" i="7"/>
  <c r="H573" i="7"/>
  <c r="H569" i="7"/>
  <c r="H568" i="7"/>
  <c r="H567" i="7"/>
  <c r="H566" i="7"/>
  <c r="H565" i="7"/>
  <c r="H564" i="7"/>
  <c r="H563" i="7"/>
  <c r="H562" i="7"/>
  <c r="H561" i="7"/>
  <c r="H560" i="7"/>
  <c r="H559" i="7"/>
  <c r="H558" i="7"/>
  <c r="H557" i="7"/>
  <c r="H556" i="7"/>
  <c r="H555" i="7"/>
  <c r="H554" i="7"/>
  <c r="H553" i="7"/>
  <c r="H549" i="7"/>
  <c r="H548" i="7"/>
  <c r="H547" i="7"/>
  <c r="H546" i="7"/>
  <c r="H545" i="7"/>
  <c r="H544" i="7"/>
  <c r="H543" i="7"/>
  <c r="H542" i="7"/>
  <c r="H541" i="7"/>
  <c r="H540" i="7"/>
  <c r="H539" i="7"/>
  <c r="H538" i="7"/>
  <c r="H537" i="7"/>
  <c r="H536" i="7"/>
  <c r="H535" i="7"/>
  <c r="H534" i="7"/>
  <c r="H533" i="7"/>
  <c r="H529" i="7"/>
  <c r="H528" i="7"/>
  <c r="H527" i="7"/>
  <c r="H526" i="7"/>
  <c r="H525" i="7"/>
  <c r="H524" i="7"/>
  <c r="H523" i="7"/>
  <c r="H522" i="7"/>
  <c r="H521" i="7"/>
  <c r="H520" i="7"/>
  <c r="H519" i="7"/>
  <c r="H518" i="7"/>
  <c r="H517" i="7"/>
  <c r="H516" i="7"/>
  <c r="H515" i="7"/>
  <c r="H514" i="7"/>
  <c r="H513" i="7"/>
  <c r="H512" i="7"/>
  <c r="H511" i="7"/>
  <c r="H510" i="7"/>
  <c r="H506" i="7"/>
  <c r="H505" i="7"/>
  <c r="H504" i="7"/>
  <c r="H503" i="7"/>
  <c r="H502" i="7"/>
  <c r="H501" i="7"/>
  <c r="H500" i="7"/>
  <c r="H499" i="7"/>
  <c r="H498" i="7"/>
  <c r="H497" i="7"/>
  <c r="H496" i="7"/>
  <c r="H495" i="7"/>
  <c r="H494" i="7"/>
  <c r="H493" i="7"/>
  <c r="H492" i="7"/>
  <c r="H491" i="7"/>
  <c r="H487" i="7"/>
  <c r="H486" i="7"/>
  <c r="H485" i="7"/>
  <c r="H484" i="7"/>
  <c r="H483" i="7"/>
  <c r="H482" i="7"/>
  <c r="H481" i="7"/>
  <c r="H480" i="7"/>
  <c r="H479" i="7"/>
  <c r="H478" i="7"/>
  <c r="H477" i="7"/>
  <c r="H476" i="7"/>
  <c r="H475" i="7"/>
  <c r="H474" i="7"/>
  <c r="H473" i="7"/>
  <c r="H469" i="7"/>
  <c r="H468" i="7"/>
  <c r="H467" i="7"/>
  <c r="H466" i="7"/>
  <c r="H465" i="7"/>
  <c r="H464" i="7"/>
  <c r="H463" i="7"/>
  <c r="H462" i="7"/>
  <c r="H461" i="7"/>
  <c r="H460" i="7"/>
  <c r="H459" i="7"/>
  <c r="H458" i="7"/>
  <c r="H457" i="7"/>
  <c r="H456" i="7"/>
  <c r="H455" i="7"/>
  <c r="H454" i="7"/>
  <c r="H450" i="7"/>
  <c r="H449" i="7"/>
  <c r="H448" i="7"/>
  <c r="H447" i="7"/>
  <c r="H446" i="7"/>
  <c r="H445" i="7"/>
  <c r="H444" i="7"/>
  <c r="H443" i="7"/>
  <c r="H442" i="7"/>
  <c r="H441" i="7"/>
  <c r="H440" i="7"/>
  <c r="H439" i="7"/>
  <c r="H438" i="7"/>
  <c r="H437" i="7"/>
  <c r="H436" i="7"/>
  <c r="H435" i="7"/>
  <c r="H434" i="7"/>
  <c r="H430" i="7"/>
  <c r="H429" i="7"/>
  <c r="H428" i="7"/>
  <c r="H427" i="7"/>
  <c r="H426" i="7"/>
  <c r="H425" i="7"/>
  <c r="H424" i="7"/>
  <c r="H423" i="7"/>
  <c r="H422" i="7"/>
  <c r="H421" i="7"/>
  <c r="H420" i="7"/>
  <c r="H419" i="7"/>
  <c r="H418" i="7"/>
  <c r="H417" i="7"/>
  <c r="H416" i="7"/>
  <c r="H412" i="7"/>
  <c r="H411" i="7"/>
  <c r="H410" i="7"/>
  <c r="H409" i="7"/>
  <c r="H408" i="7"/>
  <c r="H407" i="7"/>
  <c r="H406" i="7"/>
  <c r="H405" i="7"/>
  <c r="H404" i="7"/>
  <c r="H403" i="7"/>
  <c r="H402" i="7"/>
  <c r="H401" i="7"/>
  <c r="H400" i="7"/>
  <c r="H399" i="7"/>
  <c r="H398" i="7"/>
  <c r="H397" i="7"/>
  <c r="H396" i="7"/>
  <c r="H392" i="7"/>
  <c r="H391" i="7"/>
  <c r="H390" i="7"/>
  <c r="H389" i="7"/>
  <c r="H388" i="7"/>
  <c r="H387" i="7"/>
  <c r="H386" i="7"/>
  <c r="H385" i="7"/>
  <c r="H384" i="7"/>
  <c r="H383" i="7"/>
  <c r="H382" i="7"/>
  <c r="H381" i="7"/>
  <c r="H380" i="7"/>
  <c r="H379" i="7"/>
  <c r="H378" i="7"/>
  <c r="H374" i="7"/>
  <c r="H373" i="7"/>
  <c r="H372" i="7"/>
  <c r="H371" i="7"/>
  <c r="H370" i="7"/>
  <c r="H369" i="7"/>
  <c r="H368" i="7"/>
  <c r="H367" i="7"/>
  <c r="H366" i="7"/>
  <c r="H365" i="7"/>
  <c r="H364" i="7"/>
  <c r="H363" i="7"/>
  <c r="H362" i="7"/>
  <c r="H361" i="7"/>
  <c r="H360" i="7"/>
  <c r="H359" i="7"/>
  <c r="H358" i="7"/>
  <c r="H354" i="7"/>
  <c r="H353" i="7"/>
  <c r="H352" i="7"/>
  <c r="H351" i="7"/>
  <c r="H350" i="7"/>
  <c r="H349" i="7"/>
  <c r="H348" i="7"/>
  <c r="H347" i="7"/>
  <c r="H346" i="7"/>
  <c r="H345" i="7"/>
  <c r="H344" i="7"/>
  <c r="H343" i="7"/>
  <c r="H342" i="7"/>
  <c r="H341" i="7"/>
  <c r="H340" i="7"/>
  <c r="H339" i="7"/>
  <c r="H338" i="7"/>
  <c r="H334" i="7"/>
  <c r="H333" i="7"/>
  <c r="H332" i="7"/>
  <c r="H331" i="7"/>
  <c r="H330" i="7"/>
  <c r="H329" i="7"/>
  <c r="H328" i="7"/>
  <c r="H327" i="7"/>
  <c r="H326" i="7"/>
  <c r="H325" i="7"/>
  <c r="H324" i="7"/>
  <c r="H323" i="7"/>
  <c r="H322" i="7"/>
  <c r="H321" i="7"/>
  <c r="H320" i="7"/>
  <c r="H319" i="7"/>
  <c r="H318" i="7"/>
  <c r="H314" i="7"/>
  <c r="H313" i="7"/>
  <c r="H312" i="7"/>
  <c r="H311" i="7"/>
  <c r="H310" i="7"/>
  <c r="H309" i="7"/>
  <c r="H308" i="7"/>
  <c r="H307" i="7"/>
  <c r="H306" i="7"/>
  <c r="H305" i="7"/>
  <c r="H304" i="7"/>
  <c r="H303" i="7"/>
  <c r="H302" i="7"/>
  <c r="H301" i="7"/>
  <c r="H300" i="7"/>
  <c r="H299" i="7"/>
  <c r="H298" i="7"/>
  <c r="H297" i="7"/>
  <c r="H293" i="7"/>
  <c r="H292" i="7"/>
  <c r="H291" i="7"/>
  <c r="G290" i="7"/>
  <c r="H290" i="7" s="1"/>
  <c r="H289" i="7"/>
  <c r="H288" i="7"/>
  <c r="H287" i="7"/>
  <c r="H286" i="7"/>
  <c r="H285" i="7"/>
  <c r="H284" i="7"/>
  <c r="H283" i="7"/>
  <c r="H282" i="7"/>
  <c r="H281" i="7"/>
  <c r="H280" i="7"/>
  <c r="H279" i="7"/>
  <c r="H278" i="7"/>
  <c r="H277" i="7"/>
  <c r="H273" i="7"/>
  <c r="H272" i="7"/>
  <c r="H271" i="7"/>
  <c r="H270" i="7"/>
  <c r="H269" i="7"/>
  <c r="H268" i="7"/>
  <c r="H267" i="7"/>
  <c r="H266" i="7"/>
  <c r="H265" i="7"/>
  <c r="H264" i="7"/>
  <c r="H263" i="7"/>
  <c r="H262" i="7"/>
  <c r="H261" i="7"/>
  <c r="H260" i="7"/>
  <c r="H259" i="7"/>
  <c r="H258" i="7"/>
  <c r="H257" i="7"/>
  <c r="H253" i="7"/>
  <c r="H252" i="7"/>
  <c r="H251" i="7"/>
  <c r="H250" i="7"/>
  <c r="H249" i="7"/>
  <c r="H248" i="7"/>
  <c r="H247" i="7"/>
  <c r="H243" i="7"/>
  <c r="H242" i="7"/>
  <c r="H241" i="7"/>
  <c r="H240" i="7"/>
  <c r="H239" i="7"/>
  <c r="H235" i="7"/>
  <c r="H236" i="7" s="1"/>
  <c r="H231" i="7"/>
  <c r="H232" i="7" s="1"/>
  <c r="H227" i="7"/>
  <c r="H226" i="7"/>
  <c r="H225" i="7"/>
  <c r="H224" i="7"/>
  <c r="H223" i="7"/>
  <c r="H219" i="7"/>
  <c r="H218" i="7"/>
  <c r="H217" i="7"/>
  <c r="H216" i="7"/>
  <c r="H215" i="7"/>
  <c r="H214" i="7"/>
  <c r="H210" i="7"/>
  <c r="H209" i="7"/>
  <c r="H208" i="7"/>
  <c r="H207" i="7"/>
  <c r="H206" i="7"/>
  <c r="H205" i="7"/>
  <c r="H201" i="7"/>
  <c r="H200" i="7"/>
  <c r="H199" i="7"/>
  <c r="H198" i="7"/>
  <c r="H194" i="7"/>
  <c r="H193" i="7"/>
  <c r="H192" i="7"/>
  <c r="H191" i="7"/>
  <c r="H190" i="7"/>
  <c r="H186" i="7"/>
  <c r="H185" i="7"/>
  <c r="H184" i="7"/>
  <c r="H183" i="7"/>
  <c r="H179" i="7"/>
  <c r="H178" i="7"/>
  <c r="H177" i="7"/>
  <c r="H173" i="7"/>
  <c r="H172" i="7"/>
  <c r="H171" i="7"/>
  <c r="H170" i="7"/>
  <c r="H169" i="7"/>
  <c r="H165" i="7"/>
  <c r="H164" i="7"/>
  <c r="H163" i="7"/>
  <c r="H162" i="7"/>
  <c r="H158" i="7"/>
  <c r="H157" i="7"/>
  <c r="H156" i="7"/>
  <c r="H155" i="7"/>
  <c r="H154" i="7"/>
  <c r="H153" i="7"/>
  <c r="H149" i="7"/>
  <c r="H148" i="7"/>
  <c r="H147" i="7"/>
  <c r="H146" i="7"/>
  <c r="H145" i="7"/>
  <c r="H144" i="7"/>
  <c r="H140" i="7"/>
  <c r="H139" i="7"/>
  <c r="H138" i="7"/>
  <c r="H137" i="7"/>
  <c r="H136" i="7"/>
  <c r="H135" i="7"/>
  <c r="H131" i="7"/>
  <c r="H130" i="7"/>
  <c r="H129" i="7"/>
  <c r="H128" i="7"/>
  <c r="H127" i="7"/>
  <c r="H123" i="7"/>
  <c r="H122" i="7"/>
  <c r="H121" i="7"/>
  <c r="H120" i="7"/>
  <c r="H119" i="7"/>
  <c r="H117" i="7"/>
  <c r="H113" i="7"/>
  <c r="H112" i="7"/>
  <c r="H111" i="7"/>
  <c r="H110" i="7"/>
  <c r="H109" i="7"/>
  <c r="H107" i="7"/>
  <c r="H103" i="7"/>
  <c r="H102" i="7"/>
  <c r="H101" i="7"/>
  <c r="H100" i="7"/>
  <c r="H99" i="7"/>
  <c r="H97" i="7"/>
  <c r="H93" i="7"/>
  <c r="H92" i="7"/>
  <c r="H91" i="7"/>
  <c r="H87" i="7"/>
  <c r="H88" i="7" s="1"/>
  <c r="H83" i="7"/>
  <c r="H84" i="7" s="1"/>
  <c r="H79" i="7"/>
  <c r="H78" i="7"/>
  <c r="H74" i="7"/>
  <c r="H73" i="7"/>
  <c r="H72" i="7"/>
  <c r="H71" i="7"/>
  <c r="H70" i="7"/>
  <c r="H69" i="7"/>
  <c r="H65" i="7"/>
  <c r="H64" i="7"/>
  <c r="H63" i="7"/>
  <c r="H62" i="7"/>
  <c r="H61" i="7"/>
  <c r="H60" i="7"/>
  <c r="H59" i="7"/>
  <c r="H58" i="7"/>
  <c r="H57" i="7"/>
  <c r="H56" i="7"/>
  <c r="H55" i="7"/>
  <c r="H51" i="7"/>
  <c r="H50" i="7"/>
  <c r="H49" i="7"/>
  <c r="H48" i="7"/>
  <c r="H47" i="7"/>
  <c r="H41" i="7"/>
  <c r="H40" i="7"/>
  <c r="H39" i="7"/>
  <c r="H38" i="7"/>
  <c r="H37" i="7"/>
  <c r="H36" i="7"/>
  <c r="H35" i="7"/>
  <c r="H34" i="7"/>
  <c r="H33" i="7"/>
  <c r="H32" i="7"/>
  <c r="H31" i="7"/>
  <c r="H30" i="7"/>
  <c r="H29" i="7"/>
  <c r="H28" i="7"/>
  <c r="H27" i="7"/>
  <c r="H23" i="7"/>
  <c r="H22" i="7"/>
  <c r="H21" i="7"/>
  <c r="G234" i="1" l="1"/>
  <c r="G222" i="10"/>
  <c r="H222" i="10" s="1"/>
  <c r="G193" i="1"/>
  <c r="G181" i="10"/>
  <c r="H181" i="10" s="1"/>
  <c r="G232" i="1"/>
  <c r="G220" i="10"/>
  <c r="H220" i="10" s="1"/>
  <c r="G675" i="1"/>
  <c r="G663" i="10"/>
  <c r="H663" i="10" s="1"/>
  <c r="G194" i="1"/>
  <c r="G182" i="10"/>
  <c r="H182" i="10" s="1"/>
  <c r="G233" i="1"/>
  <c r="G221" i="10"/>
  <c r="H221" i="10" s="1"/>
  <c r="G674" i="1"/>
  <c r="G662" i="10"/>
  <c r="H662" i="10" s="1"/>
  <c r="G697" i="1"/>
  <c r="G671" i="10"/>
  <c r="H671" i="10" s="1"/>
  <c r="H672" i="10" s="1"/>
  <c r="G27" i="9"/>
  <c r="H27" i="9" s="1"/>
  <c r="G49" i="1"/>
  <c r="G33" i="9"/>
  <c r="H33" i="9" s="1"/>
  <c r="G58" i="1"/>
  <c r="H24" i="7"/>
  <c r="H132" i="7"/>
  <c r="H610" i="7"/>
  <c r="H712" i="7"/>
  <c r="H741" i="7"/>
  <c r="H750" i="7"/>
  <c r="H1204" i="7"/>
  <c r="H799" i="7"/>
  <c r="H807" i="7"/>
  <c r="H1323" i="7"/>
  <c r="H1493" i="7"/>
  <c r="H44" i="7"/>
  <c r="H683" i="7"/>
  <c r="H706" i="7"/>
  <c r="H1177" i="7"/>
  <c r="H1195" i="7"/>
  <c r="H1316" i="7"/>
  <c r="H1462" i="7"/>
  <c r="H150" i="7"/>
  <c r="H166" i="7"/>
  <c r="H195" i="7"/>
  <c r="G172" i="1" s="1"/>
  <c r="H244" i="7"/>
  <c r="H488" i="7"/>
  <c r="H615" i="7"/>
  <c r="H631" i="7"/>
  <c r="H650" i="7"/>
  <c r="H720" i="7"/>
  <c r="H993" i="7"/>
  <c r="H1005" i="7"/>
  <c r="H1310" i="7"/>
  <c r="H1347" i="7"/>
  <c r="H1509" i="7"/>
  <c r="H1598" i="7"/>
  <c r="H1582" i="7"/>
  <c r="H1566" i="7"/>
  <c r="H1550" i="7"/>
  <c r="H1457" i="7"/>
  <c r="H1390" i="7"/>
  <c r="H1330" i="7"/>
  <c r="H1242" i="7"/>
  <c r="H1213" i="7"/>
  <c r="H1186" i="7"/>
  <c r="H1168" i="7"/>
  <c r="H1159" i="7"/>
  <c r="H1140" i="7"/>
  <c r="H1096" i="7"/>
  <c r="H1073" i="7"/>
  <c r="H1014" i="7"/>
  <c r="H979" i="7"/>
  <c r="H943" i="7"/>
  <c r="H935" i="7"/>
  <c r="H897" i="7"/>
  <c r="H877" i="7"/>
  <c r="H848" i="7"/>
  <c r="H815" i="7"/>
  <c r="G286" i="10" s="1"/>
  <c r="H286" i="10" s="1"/>
  <c r="H792" i="7"/>
  <c r="H776" i="7"/>
  <c r="H770" i="7"/>
  <c r="H765" i="7"/>
  <c r="H697" i="7"/>
  <c r="H690" i="7"/>
  <c r="H664" i="7"/>
  <c r="H638" i="7"/>
  <c r="H624" i="7"/>
  <c r="H315" i="7"/>
  <c r="H274" i="7"/>
  <c r="H228" i="7"/>
  <c r="H220" i="7"/>
  <c r="H180" i="7"/>
  <c r="H159" i="7"/>
  <c r="H858" i="7"/>
  <c r="H887" i="7"/>
  <c r="H202" i="7"/>
  <c r="H211" i="7"/>
  <c r="H254" i="7"/>
  <c r="H355" i="7"/>
  <c r="H393" i="7"/>
  <c r="H413" i="7"/>
  <c r="H470" i="7"/>
  <c r="H507" i="7"/>
  <c r="H530" i="7"/>
  <c r="H570" i="7"/>
  <c r="H734" i="7"/>
  <c r="H784" i="7"/>
  <c r="H823" i="7"/>
  <c r="G290" i="10" s="1"/>
  <c r="H290" i="10" s="1"/>
  <c r="H839" i="7"/>
  <c r="H1080" i="7"/>
  <c r="H1088" i="7"/>
  <c r="H1103" i="7"/>
  <c r="H1130" i="7"/>
  <c r="H1150" i="7"/>
  <c r="H1227" i="7"/>
  <c r="H1287" i="7"/>
  <c r="H1405" i="7"/>
  <c r="H1435" i="7"/>
  <c r="H1451" i="7"/>
  <c r="H1474" i="7"/>
  <c r="H1523" i="7"/>
  <c r="H1529" i="7"/>
  <c r="H1535" i="7"/>
  <c r="H1543" i="7"/>
  <c r="H174" i="7"/>
  <c r="H187" i="7"/>
  <c r="H550" i="7"/>
  <c r="H590" i="7"/>
  <c r="H728" i="7"/>
  <c r="H867" i="7"/>
  <c r="H951" i="7"/>
  <c r="H969" i="7"/>
  <c r="H985" i="7"/>
  <c r="H999" i="7"/>
  <c r="H1257" i="7"/>
  <c r="H1272" i="7"/>
  <c r="H1379" i="7"/>
  <c r="H1468" i="7"/>
  <c r="H1604" i="7"/>
  <c r="H1621" i="7"/>
  <c r="H141" i="7"/>
  <c r="H94" i="7"/>
  <c r="H80" i="7"/>
  <c r="H75" i="7"/>
  <c r="H66" i="7"/>
  <c r="H52" i="7"/>
  <c r="H294" i="7"/>
  <c r="H335" i="7"/>
  <c r="H375" i="7"/>
  <c r="H431" i="7"/>
  <c r="H451" i="7"/>
  <c r="H829" i="7"/>
  <c r="H902" i="7"/>
  <c r="H918" i="7"/>
  <c r="H927" i="7"/>
  <c r="H1052" i="7"/>
  <c r="H1062" i="7"/>
  <c r="H1116" i="7"/>
  <c r="H1339" i="7"/>
  <c r="H1384" i="7"/>
  <c r="H1420" i="7"/>
  <c r="H1480" i="7"/>
  <c r="H1500" i="7"/>
  <c r="H1516" i="7"/>
  <c r="G559" i="1" l="1"/>
  <c r="G547" i="10"/>
  <c r="H547" i="10" s="1"/>
  <c r="G206" i="1"/>
  <c r="G194" i="10"/>
  <c r="H194" i="10" s="1"/>
  <c r="G147" i="10"/>
  <c r="H147" i="10" s="1"/>
  <c r="G108" i="10"/>
  <c r="H108" i="10" s="1"/>
  <c r="G116" i="10"/>
  <c r="H116" i="10" s="1"/>
  <c r="G257" i="1"/>
  <c r="G245" i="10"/>
  <c r="H245" i="10" s="1"/>
  <c r="H251" i="10" s="1"/>
  <c r="G558" i="1"/>
  <c r="G546" i="10"/>
  <c r="H546" i="10" s="1"/>
  <c r="G306" i="1"/>
  <c r="G294" i="10"/>
  <c r="H294" i="10" s="1"/>
  <c r="G186" i="1"/>
  <c r="G174" i="10"/>
  <c r="H174" i="10" s="1"/>
  <c r="G228" i="1"/>
  <c r="G216" i="10"/>
  <c r="H216" i="10" s="1"/>
  <c r="G307" i="1"/>
  <c r="G295" i="10"/>
  <c r="H295" i="10" s="1"/>
  <c r="G490" i="1"/>
  <c r="G478" i="10"/>
  <c r="H478" i="10" s="1"/>
  <c r="G533" i="1"/>
  <c r="G521" i="10"/>
  <c r="H521" i="10" s="1"/>
  <c r="G589" i="1"/>
  <c r="G577" i="10"/>
  <c r="H577" i="10" s="1"/>
  <c r="G276" i="1"/>
  <c r="G264" i="10"/>
  <c r="H264" i="10" s="1"/>
  <c r="H223" i="10"/>
  <c r="G430" i="1"/>
  <c r="G418" i="10"/>
  <c r="H418" i="10" s="1"/>
  <c r="G204" i="1"/>
  <c r="G192" i="10"/>
  <c r="H192" i="10" s="1"/>
  <c r="G524" i="1"/>
  <c r="G512" i="10"/>
  <c r="H512" i="10" s="1"/>
  <c r="G217" i="1"/>
  <c r="G205" i="10"/>
  <c r="H205" i="10" s="1"/>
  <c r="G609" i="1"/>
  <c r="G597" i="10"/>
  <c r="H597" i="10" s="1"/>
  <c r="G461" i="1"/>
  <c r="G449" i="10"/>
  <c r="H449" i="10" s="1"/>
  <c r="G207" i="1"/>
  <c r="G195" i="10"/>
  <c r="H195" i="10" s="1"/>
  <c r="G203" i="1"/>
  <c r="G191" i="10"/>
  <c r="H191" i="10" s="1"/>
  <c r="G284" i="1"/>
  <c r="G272" i="10"/>
  <c r="H272" i="10" s="1"/>
  <c r="G484" i="1"/>
  <c r="G472" i="10"/>
  <c r="H472" i="10" s="1"/>
  <c r="G222" i="1"/>
  <c r="G210" i="10"/>
  <c r="H210" i="10" s="1"/>
  <c r="G627" i="1"/>
  <c r="G615" i="10"/>
  <c r="H615" i="10" s="1"/>
  <c r="G537" i="1"/>
  <c r="G525" i="10"/>
  <c r="H525" i="10" s="1"/>
  <c r="G366" i="1"/>
  <c r="G354" i="10"/>
  <c r="H354" i="10" s="1"/>
  <c r="G210" i="1"/>
  <c r="G198" i="10"/>
  <c r="H198" i="10" s="1"/>
  <c r="G202" i="1"/>
  <c r="G190" i="10"/>
  <c r="H190" i="10" s="1"/>
  <c r="G667" i="1"/>
  <c r="G655" i="10"/>
  <c r="H655" i="10" s="1"/>
  <c r="G555" i="10"/>
  <c r="H555" i="10" s="1"/>
  <c r="G511" i="10"/>
  <c r="H511" i="10" s="1"/>
  <c r="G369" i="1"/>
  <c r="G357" i="10"/>
  <c r="H357" i="10" s="1"/>
  <c r="G215" i="1"/>
  <c r="G203" i="10"/>
  <c r="H203" i="10" s="1"/>
  <c r="G637" i="1"/>
  <c r="G625" i="10"/>
  <c r="H625" i="10" s="1"/>
  <c r="G570" i="1"/>
  <c r="G558" i="10"/>
  <c r="H558" i="10" s="1"/>
  <c r="G515" i="1"/>
  <c r="G503" i="10"/>
  <c r="H503" i="10" s="1"/>
  <c r="G437" i="1"/>
  <c r="G425" i="10"/>
  <c r="H425" i="10" s="1"/>
  <c r="G285" i="1"/>
  <c r="G273" i="10"/>
  <c r="H273" i="10" s="1"/>
  <c r="G213" i="1"/>
  <c r="G201" i="10"/>
  <c r="H201" i="10" s="1"/>
  <c r="G205" i="1"/>
  <c r="G193" i="10"/>
  <c r="H193" i="10" s="1"/>
  <c r="G311" i="1"/>
  <c r="G299" i="10"/>
  <c r="H299" i="10" s="1"/>
  <c r="G187" i="1"/>
  <c r="G175" i="10"/>
  <c r="H175" i="10" s="1"/>
  <c r="G221" i="1"/>
  <c r="G209" i="10"/>
  <c r="H209" i="10" s="1"/>
  <c r="G240" i="1"/>
  <c r="G228" i="10"/>
  <c r="H228" i="10" s="1"/>
  <c r="G286" i="1"/>
  <c r="G274" i="10"/>
  <c r="H274" i="10" s="1"/>
  <c r="G312" i="1"/>
  <c r="G300" i="10"/>
  <c r="H300" i="10" s="1"/>
  <c r="G428" i="1"/>
  <c r="G416" i="10"/>
  <c r="H416" i="10" s="1"/>
  <c r="G487" i="1"/>
  <c r="G475" i="10"/>
  <c r="H475" i="10" s="1"/>
  <c r="G554" i="10"/>
  <c r="H554" i="10" s="1"/>
  <c r="G510" i="10"/>
  <c r="H510" i="10" s="1"/>
  <c r="G654" i="1"/>
  <c r="G642" i="10"/>
  <c r="H642" i="10" s="1"/>
  <c r="G628" i="1"/>
  <c r="G616" i="10"/>
  <c r="H616" i="10" s="1"/>
  <c r="G402" i="10"/>
  <c r="H402" i="10" s="1"/>
  <c r="G485" i="10"/>
  <c r="H485" i="10" s="1"/>
  <c r="G559" i="10"/>
  <c r="H559" i="10" s="1"/>
  <c r="G628" i="10"/>
  <c r="H628" i="10" s="1"/>
  <c r="G584" i="10"/>
  <c r="H584" i="10" s="1"/>
  <c r="G220" i="1"/>
  <c r="G208" i="10"/>
  <c r="H208" i="10" s="1"/>
  <c r="G150" i="1"/>
  <c r="G138" i="10"/>
  <c r="H138" i="10" s="1"/>
  <c r="G491" i="1"/>
  <c r="G479" i="10"/>
  <c r="H479" i="10" s="1"/>
  <c r="G287" i="1"/>
  <c r="G275" i="10"/>
  <c r="H275" i="10" s="1"/>
  <c r="G248" i="1"/>
  <c r="G236" i="10"/>
  <c r="H236" i="10" s="1"/>
  <c r="H237" i="10" s="1"/>
  <c r="G331" i="1"/>
  <c r="G319" i="10"/>
  <c r="H319" i="10" s="1"/>
  <c r="G551" i="1"/>
  <c r="G539" i="10"/>
  <c r="H539" i="10" s="1"/>
  <c r="G166" i="1"/>
  <c r="G154" i="10"/>
  <c r="H154" i="10" s="1"/>
  <c r="G481" i="1"/>
  <c r="G469" i="10"/>
  <c r="H469" i="10" s="1"/>
  <c r="G208" i="1"/>
  <c r="G196" i="10"/>
  <c r="H196" i="10" s="1"/>
  <c r="G131" i="1"/>
  <c r="G119" i="10"/>
  <c r="H119" i="10" s="1"/>
  <c r="G283" i="1"/>
  <c r="G271" i="10"/>
  <c r="H271" i="10" s="1"/>
  <c r="G368" i="1"/>
  <c r="G356" i="10"/>
  <c r="H356" i="10" s="1"/>
  <c r="G557" i="1"/>
  <c r="G545" i="10"/>
  <c r="H545" i="10" s="1"/>
  <c r="G227" i="1"/>
  <c r="G215" i="10"/>
  <c r="H215" i="10" s="1"/>
  <c r="G242" i="1"/>
  <c r="G230" i="10"/>
  <c r="H230" i="10" s="1"/>
  <c r="G89" i="1"/>
  <c r="G77" i="10"/>
  <c r="H77" i="10" s="1"/>
  <c r="H80" i="10" s="1"/>
  <c r="G634" i="1"/>
  <c r="G622" i="10"/>
  <c r="H622" i="10" s="1"/>
  <c r="G552" i="1"/>
  <c r="G540" i="10"/>
  <c r="H540" i="10" s="1"/>
  <c r="G303" i="1"/>
  <c r="G291" i="10"/>
  <c r="H291" i="10" s="1"/>
  <c r="G396" i="1"/>
  <c r="G384" i="10"/>
  <c r="H384" i="10" s="1"/>
  <c r="G639" i="1"/>
  <c r="G627" i="10"/>
  <c r="H627" i="10" s="1"/>
  <c r="G557" i="10"/>
  <c r="H557" i="10" s="1"/>
  <c r="G513" i="10"/>
  <c r="H513" i="10" s="1"/>
  <c r="G214" i="1"/>
  <c r="G202" i="10"/>
  <c r="H202" i="10" s="1"/>
  <c r="G184" i="1"/>
  <c r="G172" i="10"/>
  <c r="H172" i="10" s="1"/>
  <c r="G239" i="1"/>
  <c r="G227" i="10"/>
  <c r="H227" i="10" s="1"/>
  <c r="G310" i="1"/>
  <c r="G298" i="10"/>
  <c r="H298" i="10" s="1"/>
  <c r="G582" i="1"/>
  <c r="G570" i="10"/>
  <c r="H570" i="10" s="1"/>
  <c r="G611" i="1"/>
  <c r="G599" i="10"/>
  <c r="H599" i="10" s="1"/>
  <c r="G474" i="1"/>
  <c r="G462" i="10"/>
  <c r="H462" i="10" s="1"/>
  <c r="G341" i="1"/>
  <c r="G329" i="10"/>
  <c r="H329" i="10" s="1"/>
  <c r="G209" i="1"/>
  <c r="G197" i="10"/>
  <c r="H197" i="10" s="1"/>
  <c r="G608" i="1"/>
  <c r="G596" i="10"/>
  <c r="H596" i="10" s="1"/>
  <c r="G415" i="1"/>
  <c r="G403" i="10"/>
  <c r="H403" i="10" s="1"/>
  <c r="G309" i="1"/>
  <c r="G297" i="10"/>
  <c r="H297" i="10" s="1"/>
  <c r="G171" i="1"/>
  <c r="G159" i="10"/>
  <c r="H159" i="10" s="1"/>
  <c r="H161" i="10" s="1"/>
  <c r="G636" i="1"/>
  <c r="G624" i="10"/>
  <c r="H624" i="10" s="1"/>
  <c r="G568" i="1"/>
  <c r="G556" i="10"/>
  <c r="H556" i="10" s="1"/>
  <c r="G486" i="1"/>
  <c r="G474" i="10"/>
  <c r="H474" i="10" s="1"/>
  <c r="G433" i="1"/>
  <c r="G421" i="10"/>
  <c r="H421" i="10" s="1"/>
  <c r="G269" i="1"/>
  <c r="G257" i="10"/>
  <c r="H257" i="10" s="1"/>
  <c r="G211" i="1"/>
  <c r="G199" i="10"/>
  <c r="H199" i="10" s="1"/>
  <c r="G196" i="1"/>
  <c r="G184" i="10"/>
  <c r="H184" i="10" s="1"/>
  <c r="G308" i="1"/>
  <c r="G296" i="10"/>
  <c r="H296" i="10" s="1"/>
  <c r="G189" i="1"/>
  <c r="G177" i="10"/>
  <c r="H177" i="10" s="1"/>
  <c r="G224" i="1"/>
  <c r="G212" i="10"/>
  <c r="H212" i="10" s="1"/>
  <c r="G280" i="1"/>
  <c r="G268" i="10"/>
  <c r="H268" i="10" s="1"/>
  <c r="H269" i="10" s="1"/>
  <c r="H292" i="10"/>
  <c r="G367" i="1"/>
  <c r="G355" i="10"/>
  <c r="H355" i="10" s="1"/>
  <c r="G432" i="1"/>
  <c r="G420" i="10"/>
  <c r="H420" i="10" s="1"/>
  <c r="G488" i="1"/>
  <c r="G476" i="10"/>
  <c r="H476" i="10" s="1"/>
  <c r="G536" i="1"/>
  <c r="G524" i="10"/>
  <c r="H524" i="10" s="1"/>
  <c r="G662" i="1"/>
  <c r="G650" i="10"/>
  <c r="H650" i="10" s="1"/>
  <c r="G545" i="1"/>
  <c r="G533" i="10"/>
  <c r="H533" i="10" s="1"/>
  <c r="G252" i="1"/>
  <c r="G240" i="10"/>
  <c r="H240" i="10" s="1"/>
  <c r="H243" i="10" s="1"/>
  <c r="G212" i="1"/>
  <c r="G200" i="10"/>
  <c r="H200" i="10" s="1"/>
  <c r="G130" i="1"/>
  <c r="G118" i="10"/>
  <c r="H118" i="10" s="1"/>
  <c r="G489" i="1"/>
  <c r="G477" i="10"/>
  <c r="H477" i="10" s="1"/>
  <c r="G626" i="1"/>
  <c r="G614" i="10"/>
  <c r="H614" i="10" s="1"/>
  <c r="G492" i="1"/>
  <c r="G480" i="10"/>
  <c r="H480" i="10" s="1"/>
  <c r="G218" i="1"/>
  <c r="G206" i="10"/>
  <c r="H206" i="10" s="1"/>
  <c r="G431" i="1"/>
  <c r="G419" i="10"/>
  <c r="H419" i="10" s="1"/>
  <c r="G409" i="1"/>
  <c r="G397" i="10"/>
  <c r="H397" i="10" s="1"/>
  <c r="G635" i="1"/>
  <c r="G623" i="10"/>
  <c r="H623" i="10" s="1"/>
  <c r="G216" i="1"/>
  <c r="G204" i="10"/>
  <c r="H204" i="10" s="1"/>
  <c r="G198" i="1"/>
  <c r="G186" i="10"/>
  <c r="H186" i="10" s="1"/>
  <c r="G438" i="1"/>
  <c r="G426" i="10"/>
  <c r="H426" i="10" s="1"/>
  <c r="G663" i="1"/>
  <c r="G651" i="10"/>
  <c r="H651" i="10" s="1"/>
  <c r="G195" i="1"/>
  <c r="G183" i="10"/>
  <c r="H183" i="10" s="1"/>
  <c r="G535" i="1"/>
  <c r="G523" i="10"/>
  <c r="H523" i="10" s="1"/>
  <c r="G679" i="1"/>
  <c r="G667" i="10"/>
  <c r="H667" i="10" s="1"/>
  <c r="H668" i="10" s="1"/>
  <c r="G167" i="1"/>
  <c r="G155" i="10"/>
  <c r="H155" i="10" s="1"/>
  <c r="G397" i="1"/>
  <c r="G385" i="10"/>
  <c r="H385" i="10" s="1"/>
  <c r="G493" i="1"/>
  <c r="G481" i="10"/>
  <c r="H481" i="10" s="1"/>
  <c r="G664" i="1"/>
  <c r="G652" i="10"/>
  <c r="H652" i="10" s="1"/>
  <c r="G416" i="1"/>
  <c r="G404" i="10"/>
  <c r="H404" i="10" s="1"/>
  <c r="G534" i="1"/>
  <c r="G522" i="10"/>
  <c r="H522" i="10" s="1"/>
  <c r="G238" i="1"/>
  <c r="G226" i="10"/>
  <c r="H226" i="10" s="1"/>
  <c r="H231" i="10" s="1"/>
  <c r="G288" i="1"/>
  <c r="G276" i="10"/>
  <c r="H276" i="10" s="1"/>
  <c r="G270" i="1"/>
  <c r="G258" i="10"/>
  <c r="H258" i="10" s="1"/>
  <c r="G159" i="1"/>
  <c r="G120" i="1"/>
  <c r="G128" i="1"/>
  <c r="G32" i="10"/>
  <c r="H32" i="10" s="1"/>
  <c r="G36" i="1"/>
  <c r="G42" i="10"/>
  <c r="H42" i="10" s="1"/>
  <c r="G48" i="1"/>
  <c r="G37" i="1"/>
  <c r="G33" i="10"/>
  <c r="H33" i="10" s="1"/>
  <c r="G1024" i="7"/>
  <c r="H1024" i="7" s="1"/>
  <c r="H1039" i="7" s="1"/>
  <c r="G108" i="7"/>
  <c r="H108" i="7" s="1"/>
  <c r="H114" i="7" s="1"/>
  <c r="G70" i="1"/>
  <c r="H70" i="1" s="1"/>
  <c r="G34" i="9"/>
  <c r="H34" i="9" s="1"/>
  <c r="G59" i="1"/>
  <c r="H59" i="1" s="1"/>
  <c r="G36" i="9"/>
  <c r="H36" i="9" s="1"/>
  <c r="G118" i="7"/>
  <c r="H118" i="7" s="1"/>
  <c r="H124" i="7" s="1"/>
  <c r="G98" i="7"/>
  <c r="H98" i="7" s="1"/>
  <c r="H104" i="7" s="1"/>
  <c r="G34" i="10"/>
  <c r="H34" i="10" s="1"/>
  <c r="G38" i="1"/>
  <c r="G567" i="1"/>
  <c r="G523" i="1"/>
  <c r="G569" i="1"/>
  <c r="G525" i="1"/>
  <c r="G302" i="1"/>
  <c r="G39" i="1"/>
  <c r="G35" i="10"/>
  <c r="H35" i="10" s="1"/>
  <c r="G566" i="1"/>
  <c r="G522" i="1"/>
  <c r="G1301" i="7"/>
  <c r="H1301" i="7" s="1"/>
  <c r="H1304" i="7" s="1"/>
  <c r="G497" i="1"/>
  <c r="G414" i="1"/>
  <c r="G640" i="1"/>
  <c r="G596" i="1"/>
  <c r="G571" i="1"/>
  <c r="G21" i="9"/>
  <c r="H21" i="9" s="1"/>
  <c r="G21" i="1"/>
  <c r="C94" i="3"/>
  <c r="B94" i="3"/>
  <c r="C92" i="3"/>
  <c r="B92" i="3"/>
  <c r="H457" i="10" l="1"/>
  <c r="H266" i="10"/>
  <c r="H217" i="10"/>
  <c r="G526" i="1"/>
  <c r="G514" i="10"/>
  <c r="H514" i="10" s="1"/>
  <c r="H518" i="10" s="1"/>
  <c r="H606" i="10" s="1"/>
  <c r="G429" i="1"/>
  <c r="G417" i="10"/>
  <c r="H417" i="10" s="1"/>
  <c r="H422" i="10" s="1"/>
  <c r="H542" i="10"/>
  <c r="H377" i="10"/>
  <c r="H178" i="10"/>
  <c r="G60" i="1"/>
  <c r="H60" i="1" s="1"/>
  <c r="G49" i="10"/>
  <c r="H49" i="10" s="1"/>
  <c r="H617" i="10"/>
  <c r="H618" i="10" s="1"/>
  <c r="H537" i="10"/>
  <c r="H399" i="10"/>
  <c r="G62" i="1"/>
  <c r="H62" i="1" s="1"/>
  <c r="G51" i="10"/>
  <c r="H51" i="10" s="1"/>
  <c r="H659" i="10"/>
  <c r="H574" i="10"/>
  <c r="H283" i="10"/>
  <c r="H330" i="10"/>
  <c r="H156" i="10"/>
  <c r="H605" i="10"/>
  <c r="H301" i="10"/>
  <c r="G61" i="1"/>
  <c r="H61" i="1" s="1"/>
  <c r="G50" i="10"/>
  <c r="H50" i="10" s="1"/>
  <c r="H43" i="10"/>
  <c r="H56" i="9"/>
  <c r="H57" i="9" s="1"/>
  <c r="H58" i="9" s="1"/>
  <c r="C85" i="3"/>
  <c r="B85" i="3"/>
  <c r="C79" i="3"/>
  <c r="B79" i="3"/>
  <c r="C77" i="3"/>
  <c r="C68" i="3"/>
  <c r="C63" i="3"/>
  <c r="B63" i="3"/>
  <c r="C61" i="3"/>
  <c r="B61" i="3"/>
  <c r="C59" i="3"/>
  <c r="B59" i="3"/>
  <c r="C57" i="3"/>
  <c r="B57" i="3"/>
  <c r="C55" i="3"/>
  <c r="B55" i="3"/>
  <c r="C53" i="3"/>
  <c r="B53" i="3"/>
  <c r="C51" i="3"/>
  <c r="B51" i="3"/>
  <c r="C49" i="3"/>
  <c r="B49" i="3"/>
  <c r="C47" i="3"/>
  <c r="B47" i="3"/>
  <c r="C45" i="3"/>
  <c r="B45" i="3"/>
  <c r="C43" i="3"/>
  <c r="B43" i="3"/>
  <c r="C41" i="3"/>
  <c r="C39" i="3"/>
  <c r="B39" i="3"/>
  <c r="C37" i="3"/>
  <c r="H62" i="10" l="1"/>
  <c r="H162" i="10" s="1"/>
  <c r="H336" i="10"/>
  <c r="H458" i="10"/>
  <c r="C26" i="3"/>
  <c r="B26" i="3"/>
  <c r="C24" i="3"/>
  <c r="B24" i="3"/>
  <c r="C22" i="3"/>
  <c r="B22" i="3"/>
  <c r="C17" i="3"/>
  <c r="B17" i="3"/>
  <c r="H537" i="1"/>
  <c r="H526" i="1"/>
  <c r="H673" i="10" l="1"/>
  <c r="H674" i="10" s="1"/>
  <c r="H675" i="10" s="1"/>
  <c r="H323" i="1"/>
  <c r="H322" i="1"/>
  <c r="H432" i="1" l="1"/>
  <c r="H431" i="1"/>
  <c r="H433" i="1"/>
  <c r="H428" i="1"/>
  <c r="H430" i="1"/>
  <c r="H429" i="1"/>
  <c r="C30" i="3"/>
  <c r="B30" i="3"/>
  <c r="C21" i="3"/>
  <c r="B21" i="3"/>
  <c r="H628" i="1"/>
  <c r="C55" i="2"/>
  <c r="C86" i="3" s="1"/>
  <c r="B55" i="2"/>
  <c r="B86" i="3" s="1"/>
  <c r="H623" i="1" l="1"/>
  <c r="H622" i="1"/>
  <c r="H624" i="1" l="1"/>
  <c r="D55" i="2" s="1"/>
  <c r="E86" i="3" s="1"/>
  <c r="R86" i="3" l="1"/>
  <c r="S86" i="3" l="1"/>
  <c r="H341" i="1" l="1"/>
  <c r="H312" i="1"/>
  <c r="H311" i="1"/>
  <c r="H310" i="1"/>
  <c r="H309" i="1"/>
  <c r="H308" i="1"/>
  <c r="H254" i="1"/>
  <c r="H248" i="1" l="1"/>
  <c r="H228" i="1"/>
  <c r="H227" i="1"/>
  <c r="H198" i="1"/>
  <c r="H195" i="1"/>
  <c r="H164" i="1"/>
  <c r="H131" i="1"/>
  <c r="H172" i="1" l="1"/>
  <c r="C59" i="2" l="1"/>
  <c r="B59" i="2"/>
  <c r="C58" i="2"/>
  <c r="B58" i="2"/>
  <c r="C57" i="2"/>
  <c r="B57" i="2"/>
  <c r="C56" i="2"/>
  <c r="C88" i="3" s="1"/>
  <c r="B56" i="2"/>
  <c r="B88" i="3" s="1"/>
  <c r="C53" i="2"/>
  <c r="C83" i="3" s="1"/>
  <c r="B53" i="2"/>
  <c r="C52" i="2"/>
  <c r="B52" i="2"/>
  <c r="B50" i="2"/>
  <c r="B77" i="3" s="1"/>
  <c r="C49" i="2"/>
  <c r="C75" i="3" s="1"/>
  <c r="B49" i="2"/>
  <c r="B75" i="3" s="1"/>
  <c r="C48" i="2"/>
  <c r="C74" i="3" s="1"/>
  <c r="B48" i="2"/>
  <c r="B74" i="3" s="1"/>
  <c r="C47" i="2"/>
  <c r="C72" i="3" s="1"/>
  <c r="B47" i="2"/>
  <c r="B72" i="3" s="1"/>
  <c r="C46" i="2"/>
  <c r="C70" i="3" s="1"/>
  <c r="B46" i="2"/>
  <c r="B70" i="3" s="1"/>
  <c r="B45" i="2"/>
  <c r="B68" i="3" s="1"/>
  <c r="C44" i="2"/>
  <c r="C66" i="3" s="1"/>
  <c r="B44" i="2"/>
  <c r="B66" i="3" s="1"/>
  <c r="C43" i="2"/>
  <c r="C65" i="3" s="1"/>
  <c r="B43" i="2"/>
  <c r="B65" i="3" s="1"/>
  <c r="B31" i="2"/>
  <c r="B41" i="3" s="1"/>
  <c r="B29" i="2"/>
  <c r="B37" i="3" s="1"/>
  <c r="C28" i="2"/>
  <c r="C35" i="3" s="1"/>
  <c r="B28" i="2"/>
  <c r="B35" i="3" s="1"/>
  <c r="C27" i="2"/>
  <c r="C33" i="3" s="1"/>
  <c r="B27" i="2"/>
  <c r="B33" i="3" s="1"/>
  <c r="C26" i="2"/>
  <c r="C31" i="3" s="1"/>
  <c r="B26" i="2"/>
  <c r="B31" i="3" s="1"/>
  <c r="C25" i="2"/>
  <c r="B25" i="2"/>
  <c r="C24" i="2"/>
  <c r="C28" i="3" s="1"/>
  <c r="B24" i="2"/>
  <c r="B28" i="3" s="1"/>
  <c r="C20" i="2"/>
  <c r="B20" i="2"/>
  <c r="C19" i="2"/>
  <c r="C19" i="3" s="1"/>
  <c r="B19" i="2"/>
  <c r="B19" i="3" s="1"/>
  <c r="B83" i="3" l="1"/>
  <c r="B81" i="3"/>
  <c r="C81" i="3"/>
  <c r="H697" i="1"/>
  <c r="H695" i="1"/>
  <c r="H694" i="1"/>
  <c r="H693" i="1"/>
  <c r="H692" i="1"/>
  <c r="H691" i="1"/>
  <c r="H690" i="1"/>
  <c r="H689" i="1"/>
  <c r="H688" i="1"/>
  <c r="H687" i="1"/>
  <c r="H686" i="1"/>
  <c r="H685" i="1"/>
  <c r="H681" i="1"/>
  <c r="H679" i="1"/>
  <c r="H677" i="1"/>
  <c r="H675" i="1"/>
  <c r="H674" i="1"/>
  <c r="H670" i="1"/>
  <c r="H668" i="1"/>
  <c r="H667" i="1"/>
  <c r="H666" i="1"/>
  <c r="H665" i="1"/>
  <c r="H664" i="1"/>
  <c r="H663" i="1"/>
  <c r="H662" i="1"/>
  <c r="H660" i="1"/>
  <c r="H658" i="1"/>
  <c r="H656" i="1"/>
  <c r="H654" i="1"/>
  <c r="H653" i="1"/>
  <c r="H650" i="1"/>
  <c r="H649" i="1"/>
  <c r="H648" i="1"/>
  <c r="H647" i="1"/>
  <c r="H646" i="1"/>
  <c r="H645" i="1"/>
  <c r="H644" i="1"/>
  <c r="H643" i="1"/>
  <c r="H642" i="1"/>
  <c r="H641" i="1"/>
  <c r="H640" i="1"/>
  <c r="H639" i="1"/>
  <c r="H638" i="1"/>
  <c r="H637" i="1"/>
  <c r="H636" i="1"/>
  <c r="H635" i="1"/>
  <c r="H634" i="1"/>
  <c r="H627" i="1"/>
  <c r="H626" i="1"/>
  <c r="H629" i="1" s="1"/>
  <c r="H630" i="1" s="1"/>
  <c r="H616" i="1"/>
  <c r="H615" i="1"/>
  <c r="H614" i="1"/>
  <c r="H613" i="1"/>
  <c r="H612" i="1"/>
  <c r="H611" i="1"/>
  <c r="H609" i="1"/>
  <c r="H608" i="1"/>
  <c r="H606" i="1"/>
  <c r="H605" i="1"/>
  <c r="H604" i="1"/>
  <c r="H603" i="1"/>
  <c r="H602" i="1"/>
  <c r="H601" i="1"/>
  <c r="H600" i="1"/>
  <c r="H599" i="1"/>
  <c r="H598" i="1"/>
  <c r="H597" i="1"/>
  <c r="H596" i="1"/>
  <c r="H594" i="1"/>
  <c r="H593" i="1"/>
  <c r="H592" i="1"/>
  <c r="H591" i="1"/>
  <c r="H589" i="1"/>
  <c r="H585" i="1"/>
  <c r="H584" i="1"/>
  <c r="H583" i="1"/>
  <c r="H582" i="1"/>
  <c r="H580" i="1"/>
  <c r="H579" i="1"/>
  <c r="H578" i="1"/>
  <c r="H577" i="1"/>
  <c r="H576" i="1"/>
  <c r="H575" i="1"/>
  <c r="H574" i="1"/>
  <c r="H573" i="1"/>
  <c r="H572" i="1"/>
  <c r="H571" i="1"/>
  <c r="H570" i="1"/>
  <c r="H569" i="1"/>
  <c r="H568" i="1"/>
  <c r="H567" i="1"/>
  <c r="H566" i="1"/>
  <c r="H564" i="1"/>
  <c r="H563" i="1"/>
  <c r="H561" i="1"/>
  <c r="H560" i="1"/>
  <c r="H559" i="1"/>
  <c r="H558" i="1"/>
  <c r="H557" i="1"/>
  <c r="H553" i="1"/>
  <c r="H552" i="1"/>
  <c r="H551" i="1"/>
  <c r="H548" i="1"/>
  <c r="H547" i="1"/>
  <c r="H546" i="1"/>
  <c r="H545" i="1"/>
  <c r="H543" i="1"/>
  <c r="H542" i="1"/>
  <c r="H541" i="1"/>
  <c r="H540" i="1"/>
  <c r="H538" i="1"/>
  <c r="H536" i="1"/>
  <c r="H535" i="1"/>
  <c r="H534" i="1"/>
  <c r="H533" i="1"/>
  <c r="H529" i="1"/>
  <c r="H528" i="1"/>
  <c r="H527" i="1"/>
  <c r="H525" i="1"/>
  <c r="H524" i="1"/>
  <c r="H523" i="1"/>
  <c r="H522" i="1"/>
  <c r="H520" i="1"/>
  <c r="H519" i="1"/>
  <c r="H518" i="1"/>
  <c r="H517" i="1"/>
  <c r="H516" i="1"/>
  <c r="H515" i="1"/>
  <c r="H513" i="1"/>
  <c r="H512" i="1"/>
  <c r="H511" i="1"/>
  <c r="H510" i="1"/>
  <c r="H509" i="1"/>
  <c r="H508" i="1"/>
  <c r="H506" i="1"/>
  <c r="H505" i="1"/>
  <c r="H504" i="1"/>
  <c r="H503" i="1"/>
  <c r="H502" i="1"/>
  <c r="H501" i="1"/>
  <c r="H500" i="1"/>
  <c r="H499" i="1"/>
  <c r="H498" i="1"/>
  <c r="H497" i="1"/>
  <c r="H495" i="1"/>
  <c r="H494" i="1"/>
  <c r="H493" i="1"/>
  <c r="H492" i="1"/>
  <c r="H491" i="1"/>
  <c r="H490" i="1"/>
  <c r="H489" i="1"/>
  <c r="H488" i="1"/>
  <c r="H487" i="1"/>
  <c r="H486" i="1"/>
  <c r="H484" i="1"/>
  <c r="H481" i="1"/>
  <c r="H479" i="1"/>
  <c r="H478" i="1"/>
  <c r="H476" i="1"/>
  <c r="H474" i="1"/>
  <c r="H468" i="1"/>
  <c r="H467" i="1"/>
  <c r="H465" i="1"/>
  <c r="H464" i="1"/>
  <c r="H463" i="1"/>
  <c r="H462" i="1"/>
  <c r="H461" i="1"/>
  <c r="H460" i="1"/>
  <c r="H458" i="1"/>
  <c r="H457" i="1"/>
  <c r="H456" i="1"/>
  <c r="H455" i="1"/>
  <c r="H454" i="1"/>
  <c r="H453" i="1"/>
  <c r="H452" i="1"/>
  <c r="H451" i="1"/>
  <c r="H450" i="1"/>
  <c r="H449" i="1"/>
  <c r="H448" i="1"/>
  <c r="H447" i="1"/>
  <c r="H446" i="1"/>
  <c r="H445" i="1"/>
  <c r="H444" i="1"/>
  <c r="H443" i="1"/>
  <c r="H442" i="1"/>
  <c r="H441" i="1"/>
  <c r="H440" i="1"/>
  <c r="H439" i="1"/>
  <c r="H438" i="1"/>
  <c r="H437" i="1"/>
  <c r="H426" i="1"/>
  <c r="H425" i="1"/>
  <c r="H423" i="1"/>
  <c r="H422" i="1"/>
  <c r="H420" i="1"/>
  <c r="H419" i="1"/>
  <c r="H418" i="1"/>
  <c r="H417" i="1"/>
  <c r="H416" i="1"/>
  <c r="H415" i="1"/>
  <c r="H414" i="1"/>
  <c r="H410" i="1"/>
  <c r="H409" i="1"/>
  <c r="H407" i="1"/>
  <c r="H406" i="1"/>
  <c r="H405" i="1"/>
  <c r="H404" i="1"/>
  <c r="H403" i="1"/>
  <c r="H402" i="1"/>
  <c r="H401" i="1"/>
  <c r="H400" i="1"/>
  <c r="H399" i="1"/>
  <c r="H398" i="1"/>
  <c r="H397" i="1"/>
  <c r="H396" i="1"/>
  <c r="H395" i="1"/>
  <c r="H394" i="1"/>
  <c r="H393" i="1"/>
  <c r="H392" i="1"/>
  <c r="H391" i="1"/>
  <c r="H388" i="1"/>
  <c r="H387" i="1"/>
  <c r="H386" i="1"/>
  <c r="H385" i="1"/>
  <c r="H384" i="1"/>
  <c r="H383" i="1"/>
  <c r="H382" i="1"/>
  <c r="H381" i="1"/>
  <c r="H380" i="1"/>
  <c r="H379" i="1"/>
  <c r="H378" i="1"/>
  <c r="H377" i="1"/>
  <c r="H376" i="1"/>
  <c r="H375" i="1"/>
  <c r="H374" i="1"/>
  <c r="H373" i="1"/>
  <c r="H372" i="1"/>
  <c r="H371" i="1"/>
  <c r="H370" i="1"/>
  <c r="H369" i="1"/>
  <c r="H368" i="1"/>
  <c r="H367" i="1"/>
  <c r="H366" i="1"/>
  <c r="H364" i="1"/>
  <c r="H363" i="1"/>
  <c r="H362" i="1"/>
  <c r="H361" i="1"/>
  <c r="H360" i="1"/>
  <c r="H359" i="1"/>
  <c r="H358" i="1"/>
  <c r="H357" i="1"/>
  <c r="H356" i="1"/>
  <c r="H355" i="1"/>
  <c r="H354" i="1"/>
  <c r="H353" i="1"/>
  <c r="H352" i="1"/>
  <c r="H346" i="1"/>
  <c r="H345" i="1"/>
  <c r="H344" i="1"/>
  <c r="H340" i="1"/>
  <c r="H338" i="1"/>
  <c r="H337" i="1"/>
  <c r="H335" i="1"/>
  <c r="H333" i="1"/>
  <c r="H331" i="1"/>
  <c r="H330" i="1"/>
  <c r="H328" i="1"/>
  <c r="H327" i="1"/>
  <c r="H321" i="1"/>
  <c r="H320" i="1"/>
  <c r="H317" i="1"/>
  <c r="H316" i="1"/>
  <c r="H315" i="1"/>
  <c r="H307" i="1"/>
  <c r="H306" i="1"/>
  <c r="H303" i="1"/>
  <c r="H302" i="1"/>
  <c r="H300" i="1"/>
  <c r="H298" i="1"/>
  <c r="H294" i="1"/>
  <c r="H293" i="1"/>
  <c r="H292" i="1"/>
  <c r="H291" i="1"/>
  <c r="H290" i="1"/>
  <c r="H289" i="1"/>
  <c r="H288" i="1"/>
  <c r="H287" i="1"/>
  <c r="H286" i="1"/>
  <c r="H285" i="1"/>
  <c r="H284" i="1"/>
  <c r="H283" i="1"/>
  <c r="H280" i="1"/>
  <c r="H281" i="1" s="1"/>
  <c r="D35" i="2" s="1"/>
  <c r="E49" i="3" s="1"/>
  <c r="H277" i="1"/>
  <c r="H276" i="1"/>
  <c r="H275" i="1"/>
  <c r="H274" i="1"/>
  <c r="H273" i="1"/>
  <c r="H272" i="1"/>
  <c r="H271" i="1"/>
  <c r="H270" i="1"/>
  <c r="H269" i="1"/>
  <c r="H266" i="1"/>
  <c r="H265" i="1"/>
  <c r="H262" i="1"/>
  <c r="H261" i="1"/>
  <c r="H260" i="1"/>
  <c r="H259" i="1"/>
  <c r="H258" i="1"/>
  <c r="H257" i="1"/>
  <c r="H253" i="1"/>
  <c r="H252" i="1"/>
  <c r="H255" i="1" s="1"/>
  <c r="H246" i="1"/>
  <c r="H249" i="1" s="1"/>
  <c r="H242" i="1"/>
  <c r="H240" i="1"/>
  <c r="H239" i="1"/>
  <c r="H238" i="1"/>
  <c r="H234" i="1"/>
  <c r="H233" i="1"/>
  <c r="H232" i="1"/>
  <c r="H225" i="1"/>
  <c r="H224" i="1"/>
  <c r="H223" i="1"/>
  <c r="H222" i="1"/>
  <c r="H221" i="1"/>
  <c r="H220" i="1"/>
  <c r="H218" i="1"/>
  <c r="H217" i="1"/>
  <c r="H216" i="1"/>
  <c r="H215" i="1"/>
  <c r="H214" i="1"/>
  <c r="H213" i="1"/>
  <c r="H212" i="1"/>
  <c r="H211" i="1"/>
  <c r="H210" i="1"/>
  <c r="H209" i="1"/>
  <c r="H208" i="1"/>
  <c r="H207" i="1"/>
  <c r="H206" i="1"/>
  <c r="H205" i="1"/>
  <c r="H204" i="1"/>
  <c r="H203" i="1"/>
  <c r="H202" i="1"/>
  <c r="H200" i="1"/>
  <c r="H196" i="1"/>
  <c r="H194" i="1"/>
  <c r="H193" i="1"/>
  <c r="H189" i="1"/>
  <c r="H187" i="1"/>
  <c r="H186" i="1"/>
  <c r="H184" i="1"/>
  <c r="H182" i="1"/>
  <c r="H181" i="1"/>
  <c r="H180" i="1"/>
  <c r="H179" i="1"/>
  <c r="H171" i="1"/>
  <c r="H167" i="1"/>
  <c r="H166" i="1"/>
  <c r="H163" i="1"/>
  <c r="H162" i="1"/>
  <c r="H161" i="1"/>
  <c r="H159" i="1"/>
  <c r="H157" i="1"/>
  <c r="H156" i="1"/>
  <c r="H155" i="1"/>
  <c r="H153" i="1"/>
  <c r="H150" i="1"/>
  <c r="H148" i="1"/>
  <c r="H147" i="1"/>
  <c r="H145" i="1"/>
  <c r="H144" i="1"/>
  <c r="H141" i="1"/>
  <c r="H139" i="1"/>
  <c r="H138" i="1"/>
  <c r="H137" i="1"/>
  <c r="H136" i="1"/>
  <c r="H134" i="1"/>
  <c r="H130" i="1"/>
  <c r="H128" i="1"/>
  <c r="H126" i="1"/>
  <c r="H125" i="1"/>
  <c r="H123" i="1"/>
  <c r="H120" i="1"/>
  <c r="H118" i="1"/>
  <c r="H117" i="1"/>
  <c r="H116" i="1"/>
  <c r="H115" i="1"/>
  <c r="H114" i="1"/>
  <c r="H113" i="1"/>
  <c r="H112" i="1"/>
  <c r="H111" i="1"/>
  <c r="H109" i="1"/>
  <c r="H106" i="1"/>
  <c r="H104" i="1"/>
  <c r="H103" i="1"/>
  <c r="H102" i="1"/>
  <c r="H101" i="1"/>
  <c r="H100" i="1"/>
  <c r="H99" i="1"/>
  <c r="H97" i="1"/>
  <c r="H91" i="1"/>
  <c r="H89" i="1"/>
  <c r="H87" i="1"/>
  <c r="H86" i="1"/>
  <c r="H85" i="1"/>
  <c r="H84" i="1"/>
  <c r="H83" i="1"/>
  <c r="H82" i="1"/>
  <c r="H80" i="1"/>
  <c r="H79" i="1"/>
  <c r="H77" i="1"/>
  <c r="H58" i="1"/>
  <c r="H74" i="1" s="1"/>
  <c r="H51" i="1"/>
  <c r="H50" i="1"/>
  <c r="H49" i="1"/>
  <c r="H48" i="1"/>
  <c r="H47" i="1"/>
  <c r="H46" i="1"/>
  <c r="H44" i="1"/>
  <c r="H42" i="1"/>
  <c r="H41" i="1"/>
  <c r="H39" i="1"/>
  <c r="H38" i="1"/>
  <c r="H37" i="1"/>
  <c r="H36" i="1"/>
  <c r="H34" i="1"/>
  <c r="H33" i="1"/>
  <c r="H32" i="1"/>
  <c r="H31" i="1"/>
  <c r="H30" i="1"/>
  <c r="H29" i="1"/>
  <c r="H28" i="1"/>
  <c r="H27" i="1"/>
  <c r="H26" i="1"/>
  <c r="H21" i="1"/>
  <c r="H22" i="1" s="1"/>
  <c r="H318" i="1" l="1"/>
  <c r="H682" i="1"/>
  <c r="D58" i="2" s="1"/>
  <c r="E92" i="3" s="1"/>
  <c r="H617" i="1"/>
  <c r="D53" i="2" s="1"/>
  <c r="E83" i="3" s="1"/>
  <c r="H434" i="1"/>
  <c r="D46" i="2" s="1"/>
  <c r="E70" i="3" s="1"/>
  <c r="H52" i="1"/>
  <c r="D19" i="2" s="1"/>
  <c r="E19" i="3" s="1"/>
  <c r="H263" i="1"/>
  <c r="D32" i="2" s="1"/>
  <c r="E43" i="3" s="1"/>
  <c r="H313" i="1"/>
  <c r="D38" i="2" s="1"/>
  <c r="E55" i="3" s="1"/>
  <c r="H324" i="1"/>
  <c r="D40" i="2" s="1"/>
  <c r="E59" i="3" s="1"/>
  <c r="H342" i="1"/>
  <c r="D41" i="2" s="1"/>
  <c r="E61" i="3" s="1"/>
  <c r="H530" i="1"/>
  <c r="H698" i="1"/>
  <c r="H243" i="1"/>
  <c r="D29" i="2" s="1"/>
  <c r="E37" i="3" s="1"/>
  <c r="H173" i="1"/>
  <c r="D24" i="2" s="1"/>
  <c r="E28" i="3" s="1"/>
  <c r="H235" i="1"/>
  <c r="D28" i="2" s="1"/>
  <c r="E35" i="3" s="1"/>
  <c r="H295" i="1"/>
  <c r="D36" i="2" s="1"/>
  <c r="E51" i="3" s="1"/>
  <c r="H304" i="1"/>
  <c r="D37" i="2" s="1"/>
  <c r="E53" i="3" s="1"/>
  <c r="H549" i="1"/>
  <c r="H586" i="1"/>
  <c r="D52" i="2" s="1"/>
  <c r="E81" i="3" s="1"/>
  <c r="H671" i="1"/>
  <c r="D57" i="2" s="1"/>
  <c r="E90" i="3" s="1"/>
  <c r="H92" i="1"/>
  <c r="D22" i="2" s="1"/>
  <c r="E24" i="3" s="1"/>
  <c r="H554" i="1"/>
  <c r="D51" i="2" s="1"/>
  <c r="E79" i="3" s="1"/>
  <c r="H168" i="1"/>
  <c r="D23" i="2" s="1"/>
  <c r="E26" i="3" s="1"/>
  <c r="P49" i="3"/>
  <c r="S49" i="3" s="1"/>
  <c r="D30" i="2"/>
  <c r="E39" i="3" s="1"/>
  <c r="D39" i="2"/>
  <c r="E57" i="3" s="1"/>
  <c r="D18" i="2"/>
  <c r="E17" i="3" s="1"/>
  <c r="H229" i="1"/>
  <c r="D27" i="2" s="1"/>
  <c r="E33" i="3" s="1"/>
  <c r="D31" i="2"/>
  <c r="E41" i="3" s="1"/>
  <c r="H411" i="1"/>
  <c r="D45" i="2" s="1"/>
  <c r="E68" i="3" s="1"/>
  <c r="H267" i="1"/>
  <c r="D33" i="2" s="1"/>
  <c r="E45" i="3" s="1"/>
  <c r="D56" i="2"/>
  <c r="E88" i="3" s="1"/>
  <c r="H278" i="1"/>
  <c r="D34" i="2" s="1"/>
  <c r="E47" i="3" s="1"/>
  <c r="H469" i="1"/>
  <c r="D47" i="2" s="1"/>
  <c r="E72" i="3" s="1"/>
  <c r="H347" i="1"/>
  <c r="D42" i="2" s="1"/>
  <c r="E63" i="3" s="1"/>
  <c r="H389" i="1"/>
  <c r="H190" i="1"/>
  <c r="H470" i="1" l="1"/>
  <c r="N28" i="3"/>
  <c r="L28" i="3"/>
  <c r="M28" i="3"/>
  <c r="J28" i="3"/>
  <c r="K28" i="3"/>
  <c r="D26" i="2"/>
  <c r="E31" i="3" s="1"/>
  <c r="P31" i="3" s="1"/>
  <c r="H348" i="1"/>
  <c r="D49" i="2"/>
  <c r="E75" i="3" s="1"/>
  <c r="R75" i="3" s="1"/>
  <c r="H618" i="1"/>
  <c r="D44" i="2"/>
  <c r="E66" i="3" s="1"/>
  <c r="P66" i="3" s="1"/>
  <c r="D21" i="2"/>
  <c r="E22" i="3" s="1"/>
  <c r="H174" i="1"/>
  <c r="Q92" i="3"/>
  <c r="L92" i="3"/>
  <c r="J92" i="3"/>
  <c r="G92" i="3"/>
  <c r="P92" i="3"/>
  <c r="K92" i="3"/>
  <c r="I92" i="3"/>
  <c r="R92" i="3"/>
  <c r="N92" i="3"/>
  <c r="M92" i="3"/>
  <c r="O92" i="3"/>
  <c r="H92" i="3"/>
  <c r="R90" i="3"/>
  <c r="P90" i="3"/>
  <c r="O90" i="3"/>
  <c r="Q90" i="3"/>
  <c r="H699" i="1"/>
  <c r="H700" i="1" s="1"/>
  <c r="R83" i="3"/>
  <c r="Q83" i="3"/>
  <c r="R57" i="3"/>
  <c r="S57" i="3" s="1"/>
  <c r="O55" i="3"/>
  <c r="P55" i="3"/>
  <c r="N55" i="3"/>
  <c r="M55" i="3"/>
  <c r="O51" i="3"/>
  <c r="N51" i="3"/>
  <c r="M51" i="3"/>
  <c r="P51" i="3"/>
  <c r="L51" i="3"/>
  <c r="N39" i="3"/>
  <c r="O39" i="3"/>
  <c r="R35" i="3"/>
  <c r="Q35" i="3"/>
  <c r="Q43" i="3"/>
  <c r="M43" i="3"/>
  <c r="N43" i="3"/>
  <c r="O43" i="3"/>
  <c r="P43" i="3"/>
  <c r="R43" i="3"/>
  <c r="N33" i="3"/>
  <c r="Q33" i="3"/>
  <c r="M33" i="3"/>
  <c r="P33" i="3"/>
  <c r="O33" i="3"/>
  <c r="L33" i="3"/>
  <c r="N70" i="3"/>
  <c r="P70" i="3"/>
  <c r="Q70" i="3"/>
  <c r="O70" i="3"/>
  <c r="R70" i="3"/>
  <c r="R61" i="3"/>
  <c r="Q61" i="3"/>
  <c r="R63" i="3"/>
  <c r="S63" i="3" s="1"/>
  <c r="Q47" i="3"/>
  <c r="P47" i="3"/>
  <c r="N47" i="3"/>
  <c r="R47" i="3"/>
  <c r="O47" i="3"/>
  <c r="H24" i="3"/>
  <c r="J24" i="3"/>
  <c r="I24" i="3"/>
  <c r="J26" i="3"/>
  <c r="L26" i="3"/>
  <c r="I26" i="3"/>
  <c r="H26" i="3"/>
  <c r="K26" i="3"/>
  <c r="P68" i="3"/>
  <c r="R68" i="3"/>
  <c r="Q68" i="3"/>
  <c r="O81" i="3"/>
  <c r="P81" i="3"/>
  <c r="N81" i="3"/>
  <c r="R81" i="3"/>
  <c r="M81" i="3"/>
  <c r="Q81" i="3"/>
  <c r="Q41" i="3"/>
  <c r="O41" i="3"/>
  <c r="P41" i="3"/>
  <c r="M41" i="3"/>
  <c r="N41" i="3"/>
  <c r="L41" i="3"/>
  <c r="R53" i="3"/>
  <c r="Q53" i="3"/>
  <c r="O53" i="3"/>
  <c r="M53" i="3"/>
  <c r="L53" i="3"/>
  <c r="N53" i="3"/>
  <c r="P53" i="3"/>
  <c r="Q37" i="3"/>
  <c r="R37" i="3"/>
  <c r="P37" i="3"/>
  <c r="O37" i="3"/>
  <c r="L72" i="3"/>
  <c r="Q72" i="3"/>
  <c r="P72" i="3"/>
  <c r="N72" i="3"/>
  <c r="M72" i="3"/>
  <c r="K72" i="3"/>
  <c r="R72" i="3"/>
  <c r="O72" i="3"/>
  <c r="R59" i="3"/>
  <c r="S59" i="3" s="1"/>
  <c r="Q88" i="3"/>
  <c r="O79" i="3"/>
  <c r="L79" i="3"/>
  <c r="N79" i="3"/>
  <c r="M79" i="3"/>
  <c r="J79" i="3"/>
  <c r="I79" i="3"/>
  <c r="K79" i="3"/>
  <c r="H79" i="3"/>
  <c r="H19" i="3"/>
  <c r="G19" i="3"/>
  <c r="R45" i="3"/>
  <c r="P45" i="3"/>
  <c r="O45" i="3"/>
  <c r="Q45" i="3"/>
  <c r="D59" i="2"/>
  <c r="E94" i="3" s="1"/>
  <c r="D50" i="2"/>
  <c r="E77" i="3" s="1"/>
  <c r="G22" i="3" l="1"/>
  <c r="H22" i="3"/>
  <c r="O66" i="3"/>
  <c r="M75" i="3"/>
  <c r="N31" i="3"/>
  <c r="K31" i="3"/>
  <c r="S28" i="3"/>
  <c r="L31" i="3"/>
  <c r="M31" i="3"/>
  <c r="N66" i="3"/>
  <c r="O31" i="3"/>
  <c r="K66" i="3"/>
  <c r="P75" i="3"/>
  <c r="M66" i="3"/>
  <c r="Q66" i="3"/>
  <c r="Q75" i="3"/>
  <c r="N75" i="3"/>
  <c r="L66" i="3"/>
  <c r="O75" i="3"/>
  <c r="S22" i="3"/>
  <c r="S92" i="3"/>
  <c r="E97" i="3"/>
  <c r="G17" i="3"/>
  <c r="S17" i="3" s="1"/>
  <c r="J94" i="3"/>
  <c r="J96" i="3" s="1"/>
  <c r="R94" i="3"/>
  <c r="K94" i="3"/>
  <c r="O94" i="3"/>
  <c r="O96" i="3" s="1"/>
  <c r="N94" i="3"/>
  <c r="G94" i="3"/>
  <c r="Q94" i="3"/>
  <c r="I94" i="3"/>
  <c r="I96" i="3" s="1"/>
  <c r="L94" i="3"/>
  <c r="P94" i="3"/>
  <c r="P96" i="3" s="1"/>
  <c r="H94" i="3"/>
  <c r="M94" i="3"/>
  <c r="S88" i="3"/>
  <c r="S83" i="3"/>
  <c r="S61" i="3"/>
  <c r="H701" i="1"/>
  <c r="S41" i="3"/>
  <c r="S33" i="3"/>
  <c r="S35" i="3"/>
  <c r="S53" i="3"/>
  <c r="S37" i="3"/>
  <c r="S19" i="3"/>
  <c r="S90" i="3"/>
  <c r="S45" i="3"/>
  <c r="S26" i="3"/>
  <c r="S24" i="3"/>
  <c r="S51" i="3"/>
  <c r="S55" i="3"/>
  <c r="S39" i="3"/>
  <c r="S70" i="3"/>
  <c r="S47" i="3"/>
  <c r="S81" i="3"/>
  <c r="D60" i="2"/>
  <c r="D61" i="2" s="1"/>
  <c r="S68" i="3"/>
  <c r="S79" i="3"/>
  <c r="S72" i="3"/>
  <c r="S43" i="3"/>
  <c r="S66" i="3" l="1"/>
  <c r="K96" i="3"/>
  <c r="S31" i="3"/>
  <c r="L96" i="3"/>
  <c r="S75" i="3"/>
  <c r="M96" i="3"/>
  <c r="N96" i="3"/>
  <c r="H96" i="3"/>
  <c r="G96" i="3"/>
  <c r="G97" i="3" s="1"/>
  <c r="E18" i="2"/>
  <c r="D62" i="2"/>
  <c r="S94" i="3"/>
  <c r="E49" i="2"/>
  <c r="E21" i="2"/>
  <c r="E26" i="2"/>
  <c r="E42" i="2"/>
  <c r="E37" i="2"/>
  <c r="E52" i="2"/>
  <c r="E19" i="2"/>
  <c r="E39" i="2"/>
  <c r="E51" i="2"/>
  <c r="E33" i="2"/>
  <c r="E41" i="2"/>
  <c r="E59" i="2"/>
  <c r="E50" i="2"/>
  <c r="E58" i="2"/>
  <c r="E35" i="2"/>
  <c r="E34" i="2"/>
  <c r="E57" i="2"/>
  <c r="E23" i="2"/>
  <c r="E29" i="2"/>
  <c r="E40" i="2"/>
  <c r="E27" i="2"/>
  <c r="E24" i="2"/>
  <c r="E53" i="2"/>
  <c r="E55" i="2"/>
  <c r="Q77" i="3"/>
  <c r="Q96" i="3" s="1"/>
  <c r="R77" i="3"/>
  <c r="R96" i="3" s="1"/>
  <c r="O98" i="3"/>
  <c r="E36" i="2"/>
  <c r="E47" i="2"/>
  <c r="E32" i="2"/>
  <c r="E56" i="2"/>
  <c r="E38" i="2"/>
  <c r="E31" i="2"/>
  <c r="E44" i="2"/>
  <c r="E45" i="2"/>
  <c r="E46" i="2"/>
  <c r="E28" i="2"/>
  <c r="E30" i="2"/>
  <c r="E22" i="2"/>
  <c r="H97" i="3" l="1"/>
  <c r="I97" i="3" s="1"/>
  <c r="J97" i="3" s="1"/>
  <c r="K97" i="3" s="1"/>
  <c r="L97" i="3" s="1"/>
  <c r="M97" i="3" s="1"/>
  <c r="N97" i="3" s="1"/>
  <c r="O97" i="3" s="1"/>
  <c r="P97" i="3" s="1"/>
  <c r="Q97" i="3" s="1"/>
  <c r="R97" i="3" s="1"/>
  <c r="R98" i="3"/>
  <c r="Q98" i="3"/>
  <c r="K98" i="3"/>
  <c r="N98" i="3"/>
  <c r="J98" i="3"/>
  <c r="I98" i="3"/>
  <c r="L98" i="3"/>
  <c r="P98" i="3"/>
  <c r="M98" i="3"/>
  <c r="G98" i="3"/>
  <c r="G99" i="3" s="1"/>
  <c r="H98" i="3"/>
  <c r="F94" i="3"/>
  <c r="F92" i="3"/>
  <c r="F90" i="3"/>
  <c r="E60" i="2"/>
  <c r="F53" i="3"/>
  <c r="F17" i="3"/>
  <c r="F86" i="3"/>
  <c r="F49" i="3"/>
  <c r="F28" i="3"/>
  <c r="F39" i="3"/>
  <c r="F33" i="3"/>
  <c r="F70" i="3"/>
  <c r="F63" i="3"/>
  <c r="F66" i="3"/>
  <c r="F41" i="3"/>
  <c r="F37" i="3"/>
  <c r="F22" i="3"/>
  <c r="F47" i="3"/>
  <c r="F79" i="3"/>
  <c r="F57" i="3"/>
  <c r="F26" i="3"/>
  <c r="F88" i="3"/>
  <c r="F31" i="3"/>
  <c r="F75" i="3"/>
  <c r="F72" i="3"/>
  <c r="F45" i="3"/>
  <c r="F43" i="3"/>
  <c r="F81" i="3"/>
  <c r="F83" i="3"/>
  <c r="F59" i="3"/>
  <c r="F55" i="3"/>
  <c r="F51" i="3"/>
  <c r="F35" i="3"/>
  <c r="F61" i="3"/>
  <c r="F68" i="3"/>
  <c r="F24" i="3"/>
  <c r="F19" i="3"/>
  <c r="F77" i="3"/>
  <c r="S77" i="3"/>
  <c r="S97" i="3" s="1"/>
  <c r="H99" i="3" l="1"/>
  <c r="I99" i="3" s="1"/>
  <c r="J99" i="3" s="1"/>
  <c r="K99" i="3" s="1"/>
  <c r="L99" i="3" s="1"/>
  <c r="M99" i="3" s="1"/>
  <c r="N99" i="3" s="1"/>
  <c r="O99" i="3" s="1"/>
  <c r="P99" i="3" s="1"/>
  <c r="Q99" i="3" s="1"/>
  <c r="R99" i="3" s="1"/>
  <c r="F99" i="3"/>
  <c r="C90" i="3" l="1"/>
  <c r="B90" i="3"/>
</calcChain>
</file>

<file path=xl/sharedStrings.xml><?xml version="1.0" encoding="utf-8"?>
<sst xmlns="http://schemas.openxmlformats.org/spreadsheetml/2006/main" count="11010" uniqueCount="2853">
  <si>
    <t>CENTRO EDUCACIONAL CRIXÁ</t>
  </si>
  <si>
    <t>CÓDIGO</t>
  </si>
  <si>
    <t>DESCRIÇÃO</t>
  </si>
  <si>
    <t>CLASS</t>
  </si>
  <si>
    <t>UNIDADE</t>
  </si>
  <si>
    <t>QUANT.</t>
  </si>
  <si>
    <t>PREÇO TOTAL (R$)</t>
  </si>
  <si>
    <t>01.00.000</t>
  </si>
  <si>
    <t>SERVIÇOS TÉCNICO-PROFISSIONAIS</t>
  </si>
  <si>
    <t>01.01.000</t>
  </si>
  <si>
    <t>Topografia</t>
  </si>
  <si>
    <t>Equipe de topografia para serviços de locação e medição em obras</t>
  </si>
  <si>
    <t>SER.CG</t>
  </si>
  <si>
    <t>DIA</t>
  </si>
  <si>
    <t>10,00</t>
  </si>
  <si>
    <t>M</t>
  </si>
  <si>
    <t>02.00.000</t>
  </si>
  <si>
    <t>SERVIÇOS PRELIMINARES</t>
  </si>
  <si>
    <t>02.01.000</t>
  </si>
  <si>
    <t>Canteiro de Obras</t>
  </si>
  <si>
    <t>02.01.100</t>
  </si>
  <si>
    <t>Construções Provisórias</t>
  </si>
  <si>
    <t>93207U</t>
  </si>
  <si>
    <t>EXECUÇÃO DE ESCRITÓRIO EM CANTEIRO DE OBRA EM CHAPA DE MADEIRA COMPENSADA, NÃO INCLUSO MOBILIÁRIO E EQUIPAMENTOS. AF_02/2016</t>
  </si>
  <si>
    <t>M2</t>
  </si>
  <si>
    <t>27,00</t>
  </si>
  <si>
    <t>93208U</t>
  </si>
  <si>
    <t>EXECUÇÃO DE ALMOXARIFADO EM CANTEIRO DE OBRA EM CHAPA DE MADEIRA COMPENSADA, INCLUSO PRATELEIRAS. AF_02/2016</t>
  </si>
  <si>
    <t>44,00</t>
  </si>
  <si>
    <t>93210U</t>
  </si>
  <si>
    <t>EXECUÇÃO DE REFEITÓRIO EM CANTEIRO DE OBRA EM CHAPA DE MADEIRA COMPENSADA, NÃO INCLUSO MOBILIÁRIO E EQUIPAMENTOS. AF_02/2016</t>
  </si>
  <si>
    <t>28,00</t>
  </si>
  <si>
    <t>93212U</t>
  </si>
  <si>
    <t>EXECUÇÃO DE SANITÁRIO E VESTIÁRIO EM CANTEIRO DE OBRA EM CHAPA DE MADEIRA COMPENSADA, NÃO INCLUSO MOBILIÁRIO. AF_02/2016</t>
  </si>
  <si>
    <t>18,00</t>
  </si>
  <si>
    <t>93214U</t>
  </si>
  <si>
    <t>EXECUÇÃO DE RESERVATÓRIO ELEVADO DE ÁGUA (1000 LITROS) EM CANTEIRO DE OBRA, APOIADO EM ESTRUTURA DE MADEIRA. AF_02/2016</t>
  </si>
  <si>
    <t>UN</t>
  </si>
  <si>
    <t>1,00</t>
  </si>
  <si>
    <t>93243U</t>
  </si>
  <si>
    <t>EXECUÇÃO DE RESERVATÓRIO ELEVADO DE ÁGUA (2000 LITROS) EM CANTEIRO DE OBRA, APOIADO EM ESTRUTURA DE MADEIRA. AF_02/2016</t>
  </si>
  <si>
    <t>93583U</t>
  </si>
  <si>
    <t>EXECUÇÃO DE CENTRAL DE FÔRMAS, PRODUÇÃO DE ARGAMASSA OU CONCRETO EM CANTEIRO DE OBRA, NÃO INCLUSO MOBILIÁRIO E EQUIPAMENTOS. AF_04/2016</t>
  </si>
  <si>
    <t>32,00</t>
  </si>
  <si>
    <t>93584U</t>
  </si>
  <si>
    <t>EXECUÇÃO DE DEPÓSITO EM CANTEIRO DE OBRA EM CHAPA DE MADEIRA COMPENSADA, NÃO INCLUSO MOBILIÁRIO. AF_04/2016</t>
  </si>
  <si>
    <t>16,00</t>
  </si>
  <si>
    <t>93585U</t>
  </si>
  <si>
    <t>EXECUÇÃO DE GUARITA EM CANTEIRO DE OBRA EM CHAPA DE MADEIRA COMPENSADA, NÃO INCLUSO MOBILIÁRIO. AF_04/2016</t>
  </si>
  <si>
    <t>4,00</t>
  </si>
  <si>
    <t>02.01.200</t>
  </si>
  <si>
    <t>Ligações Provisórias</t>
  </si>
  <si>
    <t>Ligação provisória de água para obra e instalação sanitária provisória, pequenas obras - instalação mínima</t>
  </si>
  <si>
    <t>Ligação provisória de luz e força para obra - instalação mínima</t>
  </si>
  <si>
    <t>Ligação de esgoto completa com tubo PVC Ø 150 mm no terço oposto</t>
  </si>
  <si>
    <t>Ligação de água a rede pública, cavalete de entrada</t>
  </si>
  <si>
    <t>02.01.400</t>
  </si>
  <si>
    <t>Proteção e Sinalização</t>
  </si>
  <si>
    <t>PLACA DE OBRA EM CHAPA DE ACO GALVANIZADO</t>
  </si>
  <si>
    <t>14,08</t>
  </si>
  <si>
    <t>98459U</t>
  </si>
  <si>
    <t>TAPUME COM TELHA METÁLICA. AF_05/2018</t>
  </si>
  <si>
    <t>866,00</t>
  </si>
  <si>
    <t>02.03.000</t>
  </si>
  <si>
    <t>Locação de Obras</t>
  </si>
  <si>
    <t>99059U</t>
  </si>
  <si>
    <t>LOCACAO CONVENCIONAL DE OBRA, UTILIZANDO GABARITO DE TÁBUAS CORRIDAS PONTALETADAS A CADA 2,00M - 2 UTILIZAÇÕES. AF_10/2018</t>
  </si>
  <si>
    <t>338,00</t>
  </si>
  <si>
    <t>02.04.000</t>
  </si>
  <si>
    <t>Terraplenagem</t>
  </si>
  <si>
    <t>Transporte de material de 1a. categoria, distância além de 3km</t>
  </si>
  <si>
    <t>M³*KM</t>
  </si>
  <si>
    <t>109.812,00</t>
  </si>
  <si>
    <t>2,28</t>
  </si>
  <si>
    <t>Escavação, carga e transporte de material de 1ª categoria - DMT de 2.500 a 3.000 m - caminho de serviço pavimentado - com escavadeira e caminhão basculante de 14 m³</t>
  </si>
  <si>
    <t>M3</t>
  </si>
  <si>
    <t>9.151,00</t>
  </si>
  <si>
    <t>LIMPEZA MECANIZADA DE TERRENO COM REMOCAO DE CAMADA VEGETAL, UTILIZANDO MOTONIVELADORA</t>
  </si>
  <si>
    <t>9.501,00</t>
  </si>
  <si>
    <t>CORTE E ATERRO COMPENSADO</t>
  </si>
  <si>
    <t>2.070,00</t>
  </si>
  <si>
    <t>93377U</t>
  </si>
  <si>
    <t>REATERRO MECANIZADO DE VALA COM RETROESCAVADEIRA (CAPACIDADE DA CAÇAMBA DA RETRO: 0,26 M³ / POTÊNCIA: 88 HP), LARGURA DE 0,8 A 1,5 M, PROFUNDIDADE DE 1,5 A 3,0 M, COM SOLO (SEM SUBSTITUIÇÃO) DE 1ª CATEGORIA EM LOCAIS COM ALTO NÍVEL DE INTERFERÊNCIA. AF_04/2016</t>
  </si>
  <si>
    <t>905,00</t>
  </si>
  <si>
    <t>93382U</t>
  </si>
  <si>
    <t>REATERRO MANUAL DE VALAS COM COMPACTAÇÃO MECANIZADA. AF_04/2016</t>
  </si>
  <si>
    <t>103,00</t>
  </si>
  <si>
    <t>03.00.000</t>
  </si>
  <si>
    <t>FUNDAÇÕES E ESTRUTURAS</t>
  </si>
  <si>
    <t>03.01.000</t>
  </si>
  <si>
    <t>Fundações</t>
  </si>
  <si>
    <t>03.01.400</t>
  </si>
  <si>
    <t>Fundações Profundas</t>
  </si>
  <si>
    <t>03.01.420</t>
  </si>
  <si>
    <t>Estacas Moldadas no local</t>
  </si>
  <si>
    <t>03.01.427</t>
  </si>
  <si>
    <t>Tipo Hélice Contínua</t>
  </si>
  <si>
    <t>Custo de mobilização ou desmobilização, equipamento estaca hélice contínua, movimentação da equipe e dos equipamentos dentro das regiões metropolitanas (serviço terceirizado)</t>
  </si>
  <si>
    <t>CARGA E DESCARGA MECANICA DE SOLO UTILIZANDO CAMINHAO BASCULANTE 6,0M3/16T E PA CARREGADEIRA SOBRE PNEUS 128 HP, CAPACIDADE DA CAÇAMBA 1,7 A 2,8 M3, PESO OPERACIONAL 11632 KG</t>
  </si>
  <si>
    <t>949,00</t>
  </si>
  <si>
    <t>ESTACA HÉLICE CONTÍNUA, DIÂMETRO DE 30 CM, COMPRIMENTO TOTAL ACIMA DE 15 M ATÉ 20 M, PERFURATRIZ COM TORQUE DE 170 KN.M (EXCLUSIVE MOBILIZAÇÃO E DESMOBILIZAÇÃO). AF_02/2015</t>
  </si>
  <si>
    <t>2.479,00</t>
  </si>
  <si>
    <t>ESTACA HÉLICE CONTÍNUA, DIÂMETRO DE 40 CM, COMPRIMENTO TOTAL ACIMA DE 15 M ATÉ 30 M, PERFURATRIZ COM TORQUE DE 170 KN.M (EXCLUSIVE MOBILIZAÇÃO E DESMOBILIZAÇÃO). AF_02/2015</t>
  </si>
  <si>
    <t>2.336,00</t>
  </si>
  <si>
    <t>ESTACA HÉLICE CONTÍNUA, DIÂMETRO DE 50 CM, COMPRIMENTO TOTAL ACIMA DE 15 M ATÉ 30 M, PERFURATRIZ COM TORQUE DE 170 KN.M (EXCLUSIVE MOBILIZAÇÃO E DESMOBILIZAÇÃO). AF_02/2015</t>
  </si>
  <si>
    <t>1.056,00</t>
  </si>
  <si>
    <t>93590U</t>
  </si>
  <si>
    <t>TRANSPORTE COM CAMINHÃO BASCULANTE DE 10 M3, EM VIA URBANA PAVIMENTADA, DMT ACIMA DE 30KM (UNIDADE: M3XKM). AF_04/2016</t>
  </si>
  <si>
    <t>M3XKM</t>
  </si>
  <si>
    <t>33.222,00</t>
  </si>
  <si>
    <t>95577U</t>
  </si>
  <si>
    <t>MONTAGEM DE ARMADURA LONGITUDINAL DE ESTACAS DE SEÇÃO CIRCULAR, DIÂMETRO = 10,0 MM. AF_11/2016</t>
  </si>
  <si>
    <t>KG</t>
  </si>
  <si>
    <t>678,00</t>
  </si>
  <si>
    <t>95579U</t>
  </si>
  <si>
    <t>MONTAGEM DE ARMADURA LONGITUDINAL DE ESTACAS DE SEÇÃO CIRCULAR, DIÂMETRO = 16,0 MM. AF_11/2016</t>
  </si>
  <si>
    <t>13.796,00</t>
  </si>
  <si>
    <t>95584U</t>
  </si>
  <si>
    <t>MONTAGEM DE ARMADURA TRANSVERSAL DE ESTACAS DE SEÇÃO CIRCULAR, DIÂMETRO = 6,3 MM. AF_11/2016</t>
  </si>
  <si>
    <t>3.600,00</t>
  </si>
  <si>
    <t>95602U</t>
  </si>
  <si>
    <t>ARRASAMENTO MECANICO DE ESTACA DE CONCRETO ARMADO, DIAMETROS DE 41 CM A 60 CM. AF_11/2016</t>
  </si>
  <si>
    <t>423,00</t>
  </si>
  <si>
    <t>97046U</t>
  </si>
  <si>
    <t>PONTEIRAS DE PROTEÇÃO DE VERGALHÕES EXPOSTOS EM FUNDAÇÕES. AF_11/2017</t>
  </si>
  <si>
    <t>1.692,00</t>
  </si>
  <si>
    <t>03.01.480</t>
  </si>
  <si>
    <t>Movimento de terra</t>
  </si>
  <si>
    <t>309,00</t>
  </si>
  <si>
    <t>10.829,00</t>
  </si>
  <si>
    <t>96523U</t>
  </si>
  <si>
    <t>ESCAVAÇÃO MANUAL PARA BLOCO DE COROAMENTO OU SAPATA, COM PREVISÃO DE FÔRMA. AF_06/2017</t>
  </si>
  <si>
    <t>661,00</t>
  </si>
  <si>
    <t>96995U</t>
  </si>
  <si>
    <t>REATERRO MANUAL APILOADO COM SOQUETE. AF_10/2017</t>
  </si>
  <si>
    <t>440,00</t>
  </si>
  <si>
    <t>03.01.500</t>
  </si>
  <si>
    <t>Blocos de Fundações</t>
  </si>
  <si>
    <t>03.01.501</t>
  </si>
  <si>
    <t>Lastro</t>
  </si>
  <si>
    <t>100322U</t>
  </si>
  <si>
    <t>LASTRO COM MATERIAL GRANULAR (PEDRA BRITADA N.3), APLICADO EM PISOS OU RADIERS, ESPESSURA DE *10 CM*. AF_07/2019</t>
  </si>
  <si>
    <t>53,00</t>
  </si>
  <si>
    <t>03.01.502</t>
  </si>
  <si>
    <t>Forma</t>
  </si>
  <si>
    <t>96540U</t>
  </si>
  <si>
    <t>FABRICAÇÃO, MONTAGEM E DESMONTAGEM DE FÔRMA PARA BLOCO DE COROAMENTO, EM CHAPA DE MADEIRA COMPENSADA RESINADA, E=17 MM, 4 UTILIZAÇÕES. AF_06/2017</t>
  </si>
  <si>
    <t>752,20</t>
  </si>
  <si>
    <t>96542U</t>
  </si>
  <si>
    <t>FABRICAÇÃO, MONTAGEM E DESMONTAGEM DE FÔRMA PARA VIGA BALDRAME, EM CHAPA DE MADEIRA COMPENSADA RESINADA, E=17 MM, 4 UTILIZAÇÕES. AF_06/2017</t>
  </si>
  <si>
    <t>1.877,00</t>
  </si>
  <si>
    <t>03.01.503</t>
  </si>
  <si>
    <t>Armadura</t>
  </si>
  <si>
    <t>96544U</t>
  </si>
  <si>
    <t>ARMAÇÃO DE BLOCO, VIGA BALDRAME OU SAPATA UTILIZANDO AÇO CA-50 DE 6,3 MM - MONTAGEM. AF_06/2017</t>
  </si>
  <si>
    <t>4.824,00</t>
  </si>
  <si>
    <t>96545U</t>
  </si>
  <si>
    <t>ARMAÇÃO DE BLOCO, VIGA BALDRAME OU SAPATA UTILIZANDO AÇO CA-50 DE 8 MM - MONTAGEM. AF_06/2017</t>
  </si>
  <si>
    <t>6.209,00</t>
  </si>
  <si>
    <t>96546U</t>
  </si>
  <si>
    <t>ARMAÇÃO DE BLOCO, VIGA BALDRAME OU SAPATA UTILIZANDO AÇO CA-50 DE 10 MM - MONTAGEM. AF_06/2017</t>
  </si>
  <si>
    <t>7.550,00</t>
  </si>
  <si>
    <t>96547U</t>
  </si>
  <si>
    <t>ARMAÇÃO DE BLOCO, VIGA BALDRAME OU SAPATA UTILIZANDO AÇO CA-50 DE 12,5 MM - MONTAGEM. AF_06/2017</t>
  </si>
  <si>
    <t>1.684,00</t>
  </si>
  <si>
    <t>96548U</t>
  </si>
  <si>
    <t>ARMAÇÃO DE BLOCO, VIGA BALDRAME OU SAPATA UTILIZANDO AÇO CA-50 DE 16 MM - MONTAGEM. AF_06/2017</t>
  </si>
  <si>
    <t>2.458,00</t>
  </si>
  <si>
    <t>96549U</t>
  </si>
  <si>
    <t>ARMAÇÃO DE BLOCO, VIGA BALDRAME OU SAPATA UTILIZANDO AÇO CA-50 DE 20 MM - MONTAGEM. AF_06/2017</t>
  </si>
  <si>
    <t>1.510,00</t>
  </si>
  <si>
    <t>03.01.504</t>
  </si>
  <si>
    <t>Concreto</t>
  </si>
  <si>
    <t>CONCRETAGEM DE BLOCOS DE COROAMENTO E VIGAS BALDRAMES, FCK 25 MPA, COM USO DE BOMBA ? LANÇAMENTO, ADENSAMENTO E ACABAMENTO. AF_06/2017</t>
  </si>
  <si>
    <t>400,50</t>
  </si>
  <si>
    <t>03.01.600</t>
  </si>
  <si>
    <t>Impermeabilização</t>
  </si>
  <si>
    <t>98557U</t>
  </si>
  <si>
    <t>IMPERMEABILIZAÇÃO DE SUPERFÍCIE COM EMULSÃO ASFÁLTICA, 2 DEMÃOS AF_06/2018</t>
  </si>
  <si>
    <t>2.754,20</t>
  </si>
  <si>
    <t>03.02.000</t>
  </si>
  <si>
    <t>Estruturas de Concreto</t>
  </si>
  <si>
    <t>03.02.100</t>
  </si>
  <si>
    <t>Concreto Armado</t>
  </si>
  <si>
    <t>03.02.110</t>
  </si>
  <si>
    <t>Pilares</t>
  </si>
  <si>
    <t>03.02.111</t>
  </si>
  <si>
    <t>Formas</t>
  </si>
  <si>
    <t>MONTAGEM E DESMONTAGEM DE FÔRMA DE PILARES RETANGULARES E ESTRUTURAS SIMILARES COM ÁREA MÉDIA DAS SEÇÕES MENOR OU IGUAL A 0,25 M², PÉ-DIREITO SIMPLES, EM CHAPA DE MADEIRA COMPENSADA RESINADA, 6 UTILIZAÇÕES. AF_12/2015</t>
  </si>
  <si>
    <t>565,00</t>
  </si>
  <si>
    <t>03.02.112</t>
  </si>
  <si>
    <t>92775U</t>
  </si>
  <si>
    <t>ARMAÇÃO DE PILAR OU VIGA DE UMA ESTRUTURA CONVENCIONAL DE CONCRETO ARMADO EM UMA EDIFICAÇÃO TÉRREA OU SOBRADO UTILIZANDO AÇO CA-60 DE 5,0 MM - MONTAGEM. AF_12/2015</t>
  </si>
  <si>
    <t>269,50</t>
  </si>
  <si>
    <t>92776U</t>
  </si>
  <si>
    <t>ARMAÇÃO DE PILAR OU VIGA DE UMA ESTRUTURA CONVENCIONAL DE CONCRETO ARMADO EM UMA EDIFICAÇÃO TÉRREA OU SOBRADO UTILIZANDO AÇO CA-50 DE 6,3 MM - MONTAGEM. AF_12/2015</t>
  </si>
  <si>
    <t>2.040,50</t>
  </si>
  <si>
    <t>92778U</t>
  </si>
  <si>
    <t>ARMAÇÃO DE PILAR OU VIGA DE UMA ESTRUTURA CONVENCIONAL DE CONCRETO ARMADO EM UMA EDIFICAÇÃO TÉRREA OU SOBRADO UTILIZANDO AÇO CA-50 DE 10,0 MM - MONTAGEM. AF_12/2015</t>
  </si>
  <si>
    <t>872,30</t>
  </si>
  <si>
    <t>92779U</t>
  </si>
  <si>
    <t>ARMAÇÃO DE PILAR OU VIGA DE UMA ESTRUTURA CONVENCIONAL DE CONCRETO ARMADO EM UMA EDIFICAÇÃO TÉRREA OU SOBRADO UTILIZANDO AÇO CA-50 DE 12,5 MM - MONTAGEM. AF_12/2015</t>
  </si>
  <si>
    <t>2.321,00</t>
  </si>
  <si>
    <t>92780U</t>
  </si>
  <si>
    <t>ARMAÇÃO DE PILAR OU VIGA DE UMA ESTRUTURA CONVENCIONAL DE CONCRETO ARMADO EM UMA EDIFICAÇÃO TÉRREA OU SOBRADO UTILIZANDO AÇO CA-50 DE 16,0 MM - MONTAGEM. AF_12/2015</t>
  </si>
  <si>
    <t>2.819,30</t>
  </si>
  <si>
    <t>92781U</t>
  </si>
  <si>
    <t>ARMAÇÃO DE PILAR OU VIGA DE UMA ESTRUTURA CONVENCIONAL DE CONCRETO ARMADO EM UMA EDIFICAÇÃO TÉRREA OU SOBRADO UTILIZANDO AÇO CA-50 DE 20,0 MM - MONTAGEM. AF_12/2015</t>
  </si>
  <si>
    <t>410,30</t>
  </si>
  <si>
    <t>03.02.113</t>
  </si>
  <si>
    <t>92720U</t>
  </si>
  <si>
    <t>CONCRETAGEM DE PILARES, FCK = 25 MPA, COM USO DE BOMBA EM EDIFICAÇÃO COM SEÇÃO MÉDIA DE PILARES MENOR OU IGUAL A 0,25 M² - LANÇAMENTO, ADENSAMENTO E ACABAMENTO. AF_12/2015</t>
  </si>
  <si>
    <t>55,56</t>
  </si>
  <si>
    <t>03.02.120</t>
  </si>
  <si>
    <t>Vigas</t>
  </si>
  <si>
    <t>03.02.121</t>
  </si>
  <si>
    <t>92451U</t>
  </si>
  <si>
    <t>MONTAGEM E DESMONTAGEM DE FÔRMA DE VIGA, ESCORAMENTO COM GARFO DE MADEIRA, PÉ-DIREITO SIMPLES, EM CHAPA DE MADEIRA RESINADA, 2 UTILIZAÇÕES. AF_12/2015</t>
  </si>
  <si>
    <t>722,35</t>
  </si>
  <si>
    <t>03.02.122</t>
  </si>
  <si>
    <t>91600U</t>
  </si>
  <si>
    <t>ARMAÇÃO DO SISTEMA DE PAREDES DE CONCRETO, EXECUTADA EM PLATIBANDAS, TELA Q-92. AF_06/2019</t>
  </si>
  <si>
    <t>215,60</t>
  </si>
  <si>
    <t>1.372,80</t>
  </si>
  <si>
    <t>92777U</t>
  </si>
  <si>
    <t>ARMAÇÃO DE PILAR OU VIGA DE UMA ESTRUTURA CONVENCIONAL DE CONCRETO ARMADO EM UMA EDIFICAÇÃO TÉRREA OU SOBRADO UTILIZANDO AÇO CA-50 DE 8,0 MM - MONTAGEM. AF_12/2015</t>
  </si>
  <si>
    <t>1.336,50</t>
  </si>
  <si>
    <t>1.398,10</t>
  </si>
  <si>
    <t>852,50</t>
  </si>
  <si>
    <t>632,50</t>
  </si>
  <si>
    <t>335,50</t>
  </si>
  <si>
    <t>92782U</t>
  </si>
  <si>
    <t>ARMAÇÃO DE PILAR OU VIGA DE UMA ESTRUTURA CONVENCIONAL DE CONCRETO ARMADO EM UMA EDIFICAÇÃO TÉRREA OU SOBRADO UTILIZANDO AÇO CA-50 DE 25,0 MM - MONTAGEM. AF_12/2015</t>
  </si>
  <si>
    <t>674,30</t>
  </si>
  <si>
    <t>03.02.123</t>
  </si>
  <si>
    <t>CONCRETAGEM DE VIGAS E LAJES, FCK=25 MPA, PARA LAJES MACIÇAS OU NERVURADAS COM USO DE BOMBA EM EDIFICAÇÃO COM ÁREA MÉDIA DE LAJES MAIOR QUE 20 M² - LANÇAMENTO, ADENSAMENTO E ACABAMENTO. AF_12/2015</t>
  </si>
  <si>
    <t>75,05</t>
  </si>
  <si>
    <t>03.02.130</t>
  </si>
  <si>
    <t>Lajes</t>
  </si>
  <si>
    <t>03.02.131</t>
  </si>
  <si>
    <t>92484U</t>
  </si>
  <si>
    <t>MONTAGEM E DESMONTAGEM DE FÔRMA DE LAJE MACIÇA COM ÁREA MÉDIA MAIOR QUE 20 M², PÉ-DIREITO SIMPLES, EM MADEIRA SERRADA, 2 UTILIZAÇÕES. AF_12/2015</t>
  </si>
  <si>
    <t>899,40</t>
  </si>
  <si>
    <t>03.02.132</t>
  </si>
  <si>
    <t>92785U</t>
  </si>
  <si>
    <t>ARMAÇÃO DE LAJE DE UMA ESTRUTURA CONVENCIONAL DE CONCRETO ARMADO EM UMA EDIFICAÇÃO TÉRREA OU SOBRADO UTILIZANDO AÇO CA-50 DE 6,3 MM - MONTAGEM. AF_12/2015</t>
  </si>
  <si>
    <t>3.985,30</t>
  </si>
  <si>
    <t>92786U</t>
  </si>
  <si>
    <t>ARMAÇÃO DE LAJE DE UMA ESTRUTURA CONVENCIONAL DE CONCRETO ARMADO EM UMA EDIFICAÇÃO TÉRREA OU SOBRADO UTILIZANDO AÇO CA-50 DE 8,0 MM - MONTAGEM. AF_12/2015</t>
  </si>
  <si>
    <t>5.403,20</t>
  </si>
  <si>
    <t>03.02.133</t>
  </si>
  <si>
    <t>161,05</t>
  </si>
  <si>
    <t>03.02.134</t>
  </si>
  <si>
    <t>Lajes Steel Deck</t>
  </si>
  <si>
    <t>Laje pré-fabricada steel deck para piso com capa de concreto C25 S50, espessura da laje 20 cm, chapa # 0,95 mm</t>
  </si>
  <si>
    <t>03.02.140</t>
  </si>
  <si>
    <t>Cortinas</t>
  </si>
  <si>
    <t>03.02.141</t>
  </si>
  <si>
    <t>100341U</t>
  </si>
  <si>
    <t>FABRICAÇÃO, MONTAGEM E DESMONTAGEM DE FÔRMA PARA CORTINA DE CONTENÇÃO, EM CHAPA DE MADEIRA COMPENSADA PLASTIFICADA, E = 18 MM, 10 UTILIZAÇÕES. AF_07/2019</t>
  </si>
  <si>
    <t>2.516,70</t>
  </si>
  <si>
    <t>03.02.142</t>
  </si>
  <si>
    <t>100342U</t>
  </si>
  <si>
    <t>ARMAÇÃO DE CORTINA DE CONTENÇÃO EM CONCRETO ARMADO, COM AÇO CA-50 DE 6,3 MM - MONTAGEM. AF_07/2019</t>
  </si>
  <si>
    <t>7.734,10</t>
  </si>
  <si>
    <t>100343U</t>
  </si>
  <si>
    <t>ARMAÇÃO DE CORTINA DE CONTENÇÃO EM CONCRETO ARMADO, COM AÇO CA-50 DE 8 MM - MONTAGEM. AF_07/2019</t>
  </si>
  <si>
    <t>7.030,10</t>
  </si>
  <si>
    <t>100344U</t>
  </si>
  <si>
    <t>ARMAÇÃO DE CORTINA DE CONTENÇÃO EM CONCRETO ARMADO, COM AÇO CA-50 DE 10 MM - MONTAGEM. AF_07/2019</t>
  </si>
  <si>
    <t>2.383,70</t>
  </si>
  <si>
    <t>100345U</t>
  </si>
  <si>
    <t>ARMAÇÃO DE CORTINA DE CONTENÇÃO EM CONCRETO ARMADO, COM AÇO CA-50 DE 12,5 MM - MONTAGEM. AF_07/2019</t>
  </si>
  <si>
    <t>1.611,50</t>
  </si>
  <si>
    <t>03.02.143</t>
  </si>
  <si>
    <t>100349U</t>
  </si>
  <si>
    <t>CONCRETAGEM DE CORTINA DE CONTENÇÃO, ATRAVÉS DE BOMBA ? LANÇAMENTO, ADENSAMENTO E ACABAMENTO. AF_07/2019</t>
  </si>
  <si>
    <t>274,08</t>
  </si>
  <si>
    <t>03.02.170</t>
  </si>
  <si>
    <t>Caixas d´água</t>
  </si>
  <si>
    <t>03.02.171</t>
  </si>
  <si>
    <t>214,80</t>
  </si>
  <si>
    <t>MONTAGEM E DESMONTAGEM DE FÔRMA DE LAJE MACIÇA COM ÁREA MÉDIA MENOR OU IGUAL A 20 M², PÉ-DIREITO SIMPLES, EM MADEIRA SERRADA, 2 UTILIZAÇÕES. AF_12/2015</t>
  </si>
  <si>
    <t>17,10</t>
  </si>
  <si>
    <t>03.02.172</t>
  </si>
  <si>
    <t>1.648,90</t>
  </si>
  <si>
    <t>655,60</t>
  </si>
  <si>
    <t>03.02.173</t>
  </si>
  <si>
    <t>CONCRETAGEM DE PAREDES E LAJES DE RESERVATÓRIO D´ÁGUA, FCK=25MPa, ATRAVÉS DE BOMBA, LANÇAMENTO, ADENSAMENTO E ACABAMENTO</t>
  </si>
  <si>
    <t>22,00</t>
  </si>
  <si>
    <t>03.02.180</t>
  </si>
  <si>
    <t>Escadas</t>
  </si>
  <si>
    <t>03.02.181</t>
  </si>
  <si>
    <t>MONTAGEM E DESMONTAGEM DE FÔRMA PARA ESCADAS, COM 2 LANCES, EM CHAPA DE MADEIRA COMPENSADA RESINADA, 4 UTILIZAÇÕES. AF_01/2017</t>
  </si>
  <si>
    <t>125,26</t>
  </si>
  <si>
    <t>03.02.182</t>
  </si>
  <si>
    <t>95944U</t>
  </si>
  <si>
    <t>ARMAÇÃO DE ESCADA, COM 2 LANCES, DE UMA ESTRUTURA CONVENCIONAL DE CONCRETO ARMADO UTILIZANDO AÇO CA-50 DE 6,3 MM - MONTAGEM. AF_01/2017</t>
  </si>
  <si>
    <t>126,50</t>
  </si>
  <si>
    <t>95945U</t>
  </si>
  <si>
    <t>ARMAÇÃO DE ESCADA, COM 2 LANCES, DE UMA ESTRUTURA CONVENCIONAL DE CONCRETO ARMADO UTILIZANDO AÇO CA-50 DE 8,0 MM - MONTAGEM. AF_01/2017</t>
  </si>
  <si>
    <t>317,90</t>
  </si>
  <si>
    <t>95946U</t>
  </si>
  <si>
    <t>ARMAÇÃO DE ESCADA, COM 2 LANCES, DE UMA ESTRUTURA CONVENCIONAL DE CONCRETO ARMADO UTILIZANDO AÇO CA-50 DE 10,0 MM - MONTAGEM. AF_01/2017</t>
  </si>
  <si>
    <t>180,40</t>
  </si>
  <si>
    <t>03.02.183</t>
  </si>
  <si>
    <t>22,50</t>
  </si>
  <si>
    <t>03.02.400</t>
  </si>
  <si>
    <t>Diversos</t>
  </si>
  <si>
    <t>90439U</t>
  </si>
  <si>
    <t>FURO EM CONCRETO PARA DIÂMETROS MENORES OU IGUAIS A 40 MM. AF_05/2015</t>
  </si>
  <si>
    <t>24,00</t>
  </si>
  <si>
    <t>90440U</t>
  </si>
  <si>
    <t>FURO EM CONCRETO PARA DIÂMETROS MAIORES QUE 40 MM E MENORES OU IGUAIS A 75 MM. AF_05/2015</t>
  </si>
  <si>
    <t>48,00</t>
  </si>
  <si>
    <t>90441U</t>
  </si>
  <si>
    <t>FURO EM CONCRETO PARA DIÂMETROS MAIORES QUE 75 MM. AF_05/2015</t>
  </si>
  <si>
    <t>241,00</t>
  </si>
  <si>
    <t>03.02.430</t>
  </si>
  <si>
    <t>Juntas de Dilatação</t>
  </si>
  <si>
    <t>JUNTA DE DILATACAO COM ISOPOR 10 MM</t>
  </si>
  <si>
    <t>81,90</t>
  </si>
  <si>
    <t>JUNTA DE DILATACAO ELASTICA (PVC) O-220/6 PRESSAO ATE 30 MCA</t>
  </si>
  <si>
    <t>121,00</t>
  </si>
  <si>
    <t>03.03.000</t>
  </si>
  <si>
    <t>Estruturas Metálicas</t>
  </si>
  <si>
    <t>03.03.100</t>
  </si>
  <si>
    <t>Estrutura Metálica Completa</t>
  </si>
  <si>
    <t>04.00.000</t>
  </si>
  <si>
    <t>ARQUITETURA E ELEMENTOS DE URBANISMO</t>
  </si>
  <si>
    <t>04.01.000</t>
  </si>
  <si>
    <t>Arquitetura</t>
  </si>
  <si>
    <t>04.01.100</t>
  </si>
  <si>
    <t>Paredes</t>
  </si>
  <si>
    <t>04.01.102</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</si>
  <si>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</si>
  <si>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</si>
  <si>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247,00</t>
  </si>
  <si>
    <t>93184U</t>
  </si>
  <si>
    <t>VERGA PRÉ-MOLDADA PARA PORTAS COM ATÉ 1,5 M DE VÃO. AF_03/2016</t>
  </si>
  <si>
    <t>25,00</t>
  </si>
  <si>
    <t>93202U</t>
  </si>
  <si>
    <t>FIXAÇÃO (ENCUNHAMENTO) DE ALVENARIA DE VEDAÇÃO COM TIJOLO MACIÇO. AF_03/2016</t>
  </si>
  <si>
    <t>1.256,20</t>
  </si>
  <si>
    <t>04.01.104</t>
  </si>
  <si>
    <t>Alvenaria de vedação com tijolo cerâmico laminados 5,5 x 11 x 23,5 cm, espessura da parede 11 cm, juntas de 10 mm com argamassa mista de cimento, cal e areia traço 1:1:6</t>
  </si>
  <si>
    <t>04.01.114</t>
  </si>
  <si>
    <t>Cobogó de tijolo cerâmico laminados 5,5 x 11 x 23,5 cm, espessura 11 cm, juntas de 10 mm com argamassa mista de cimento, cal e areia traço 1:1:6, tipo pilarete</t>
  </si>
  <si>
    <t>Cobogó de tijolo cerâmico laminados 5,5 x 11 x 23,5 cm, espessura 11 cm, juntas de 10 mm com argamassa mista de cimento, cal e areia traço 1:1:6, tipo Zigzag</t>
  </si>
  <si>
    <t>04.01.120</t>
  </si>
  <si>
    <t>142,50</t>
  </si>
  <si>
    <t>04.01.200</t>
  </si>
  <si>
    <t>Esquadrias</t>
  </si>
  <si>
    <t>04.01.201</t>
  </si>
  <si>
    <t>Porta de ferro em chapa maciça</t>
  </si>
  <si>
    <t>Porta Metálica de abrir, comm perfis estruturantes e caixilhos de aço, fechamento em chapa fina dobrada</t>
  </si>
  <si>
    <t>Porta Metálica de abrir, comm perfis estruturantes e caixilhos de aço, fechamento em chapa fina dobrada, com isolamento acústico</t>
  </si>
  <si>
    <t>ALCAPAO EM FERRO 70X70CM, INCLUSO FERRAGENS</t>
  </si>
  <si>
    <t>3,00</t>
  </si>
  <si>
    <t>04.01.204</t>
  </si>
  <si>
    <t>Porta de ferro em tela metálica</t>
  </si>
  <si>
    <t>04.01.208</t>
  </si>
  <si>
    <t>Porta corta-fogo</t>
  </si>
  <si>
    <t>90838U</t>
  </si>
  <si>
    <t>PORTA CORTA-FOGO 90X210X4CM - FORNECIMENTO E INSTALAÇÃO. AF_08/2015</t>
  </si>
  <si>
    <t>04.01.211</t>
  </si>
  <si>
    <t>Caixilho móvel de ferro em barras</t>
  </si>
  <si>
    <t>2,00</t>
  </si>
  <si>
    <t>CX-09 (6,07x1,75) - Esquadrias com perfis estruturantes e caixilhos em aço, 4 fls.(2 de correr + 2 fixas) para vidro</t>
  </si>
  <si>
    <t>CX-10 (3,785x1,95) - Esquadrias com perfis estruturantes e caixilhos em aço, 4 fls.(2 de correr + 2 fixas) para vidro</t>
  </si>
  <si>
    <t>CX-11 (11,75x2,30) - Esquadrias com perfis estruturantes e caixilhos em aço, 12 fls. de correr para vidro</t>
  </si>
  <si>
    <t>CX-12 (2,77x2,30) - Esquadrias com perfis estruturantes e caixilhos em aço, 2 fls. de correr para vidro</t>
  </si>
  <si>
    <t>CX-13 (11,85x2,85) - Esquadrias com perfis estruturantes e caixilhos em aço, 24 fls. (2 portas de correr + 12 janelas max.ar + 10 fls. fixas)</t>
  </si>
  <si>
    <t>CX-14 (4,39x0,75) - Esquadrias com perfis estruturantes e caixilhos em aço, 5 fls. máximo ar</t>
  </si>
  <si>
    <t>CX-15 (1,50x0,75) - Esquadrias com perfis estruturantes e caixilhos em aço, 2 fls. máximo ar</t>
  </si>
  <si>
    <t>CX-16 (4,11x0,75) - Esquadrias com perfis estruturantes e caixilhos em aço, 5 fls. máximo ar</t>
  </si>
  <si>
    <t>CX-17 (2,95x1,75) - Esquadrias com perfis estruturantes e caixilhos em aço, 4 fls. (2 de correr + 2 fixas) para vidro</t>
  </si>
  <si>
    <t>04.01.212</t>
  </si>
  <si>
    <t>Caixilho fixo de ferro</t>
  </si>
  <si>
    <t>Caixilho fixo de aço em veneziana</t>
  </si>
  <si>
    <t>Caixilho fixo de aço em barra</t>
  </si>
  <si>
    <t>155,10</t>
  </si>
  <si>
    <t>Pergolado metálico em tubo retangular 100x150mm</t>
  </si>
  <si>
    <t>73,95</t>
  </si>
  <si>
    <t>12189/ORSE</t>
  </si>
  <si>
    <t>Corrimão duplo central em tubo de ferro galvanizado 1 1/2", com chumbadores para fixação no piso</t>
  </si>
  <si>
    <t>ESCADA TIPO MARINHEIRO EM TUBO ACO GALVANIZADO 1 1/2" 5 DEGRAUS</t>
  </si>
  <si>
    <t>99837U</t>
  </si>
  <si>
    <t>GUARDA-CORPO DE AÇO GALVANIZADO DE 1,10M, MONTANTES TUBULARES DE 1.1/4" ESPAÇADOS DE 1,20M, TRAVESSA SUPERIOR DE 1.1/2", GRADIL FORMADO POR TUBOS HORIZONTAIS DE 1" E VERTICAIS DE 3/4", FIXADO COM CHUMBADOR MECÂNICO. AF_04/2019_P</t>
  </si>
  <si>
    <t>04.01.213</t>
  </si>
  <si>
    <t>Caixilho fixo de ferro em tela metálica</t>
  </si>
  <si>
    <t>04.01.240</t>
  </si>
  <si>
    <t>Portas e Janelas de vidro</t>
  </si>
  <si>
    <t>04.01.241</t>
  </si>
  <si>
    <t>Caixilho de alumínio para portas e janelas de vidro</t>
  </si>
  <si>
    <t>04.01.241.12U</t>
  </si>
  <si>
    <t>Caixilho de alumínio para portas de vidro de correr</t>
  </si>
  <si>
    <t>228,28</t>
  </si>
  <si>
    <t>Caixilho de alumínio para janelas de vidro de correr</t>
  </si>
  <si>
    <t>319,83</t>
  </si>
  <si>
    <t>Porta laminado melamínico estrutural TS esp.=10mm, estrutura e ferragens em aluminio, fornecimento e colocação</t>
  </si>
  <si>
    <t>MAT.</t>
  </si>
  <si>
    <t>48,60</t>
  </si>
  <si>
    <t>04.01.300</t>
  </si>
  <si>
    <t>Vidros e Plásticos</t>
  </si>
  <si>
    <t>04.01.303</t>
  </si>
  <si>
    <t>Vidro temperado liso</t>
  </si>
  <si>
    <t>VIDRO TEMPERADO INCOLOR, ESPESSURA 6MM, FORNECIMENTO E INSTALACAO, INCLUSIVE MASSA PARA VEDACAO</t>
  </si>
  <si>
    <t>611,49</t>
  </si>
  <si>
    <t>VIDRO TEMPERADO INCOLOR, ESPESSURA 8MM, FORNECIMENTO E INSTALACAO, INCLUSIVE MASSA PARA VEDACAO</t>
  </si>
  <si>
    <t>883,25</t>
  </si>
  <si>
    <t>VIDRO TEMPERADO INCOLOR, ESPESSURA 10MM, FORNECIMENTO E INSTALACAO, INCLUSIVE MASSA PARA VEDACAO</t>
  </si>
  <si>
    <t>04.01.311</t>
  </si>
  <si>
    <t>Espelho de vidro</t>
  </si>
  <si>
    <t>ESPELHO CRISTAL ESPESSURA 4MM, COM MOLDURA EM ALUMINIO E COMPENSADO 6MM PLASTIFICADO COLADO</t>
  </si>
  <si>
    <t>52,62</t>
  </si>
  <si>
    <t>04.01.400</t>
  </si>
  <si>
    <t>Cobertura e Fechamento Lateral</t>
  </si>
  <si>
    <t>04.01.410</t>
  </si>
  <si>
    <t>Telhas compostas termo-acústicas</t>
  </si>
  <si>
    <t>814,50</t>
  </si>
  <si>
    <t>04.01.500</t>
  </si>
  <si>
    <t>Revestimentos</t>
  </si>
  <si>
    <t>04.01.510</t>
  </si>
  <si>
    <t>Revestimentos de Pisos</t>
  </si>
  <si>
    <t>PISO EM GRANILITE, MARMORITE OU GRANITINA ESPESSURA 8 MM, INCLUSO JUNTAS DE DILATACAO PLASTICAS</t>
  </si>
  <si>
    <t>87630U</t>
  </si>
  <si>
    <t>CONTRAPISO EM ARGAMASSA TRAÇO 1:4 (CIMENTO E AREIA), PREPARO MECÂNICO COM BETONEIRA 400 L, APLICADO EM ÁREAS SECAS SOBRE LAJE, ADERIDO, ESPESSURA 3CM. AF_06/2014</t>
  </si>
  <si>
    <t>04.01.530</t>
  </si>
  <si>
    <t>Revestimentos de Paredes</t>
  </si>
  <si>
    <t>REVESTIMENTO PARA PAREDES TIJOLINHO CERÂMICO NATURAL COM 6,5X25,5 CM APLICADAS EM AMBIENTES DE ÁREA MAIOR QUE 5 M² NA ALTURA INTEIRA DAS PAREDES.</t>
  </si>
  <si>
    <t>87531U</t>
  </si>
  <si>
    <t>EMBOÇO, PARA RECEBIMENTO DE CERÂMICA, EM ARGAMASSA TRAÇO 1:2:8, PREPARO MECÂNICO COM BETONEIRA 400L, APLICADO MANUALMENTE EM FACES INTERNAS DE PAREDES, PARA AMBIENTE COM ÁREA ENTRE 5M2 E 10M2, ESPESSURA DE 20MM, COM EXECUÇÃO DE TALISCAS. AF_06/2014</t>
  </si>
  <si>
    <t>87874U</t>
  </si>
  <si>
    <t>CHAPISCO APLICADO EM ALVENARIAS E ESTRUTURAS DE CONCRETO INTERNAS, COM ROLO PARA TEXTURA ACRÍLICA. ARGAMASSA TRAÇO 1:4 E EMULSÃO POLIMÉRICA (ADESIVO) COM PREPARO EM BETONEIRA 400L. AF_06/2014</t>
  </si>
  <si>
    <t>1.536,60</t>
  </si>
  <si>
    <t>87879U</t>
  </si>
  <si>
    <t>CHAPISCO APLICADO EM ALVENARIAS E ESTRUTURAS DE CONCRETO INTERNAS, COM COLHER DE PEDREIRO. ARGAMASSA TRAÇO 1:3 COM PREPARO EM BETONEIRA 400L. AF_06/2014</t>
  </si>
  <si>
    <t>89048U</t>
  </si>
  <si>
    <t>EMBOÇO/MASSA ÚNICA, TRAÇO 1:2:8, PREPARO MECÂNICO, COM BETONEIRA DE 400L, EM PAREDES DE AMBIENTES INTERNOS, COM EXECUÇÃO DE TALISCAS, PARA EDIFICAÇÃO HABITACIONAL MULTIFAMILIAR (PRÉDIO). AF_11/2014</t>
  </si>
  <si>
    <t>2.002,87</t>
  </si>
  <si>
    <t>04.01.550</t>
  </si>
  <si>
    <t>Revestimentos de Forro</t>
  </si>
  <si>
    <t>96110U</t>
  </si>
  <si>
    <t>FORRO EM DRYWALL, PARA AMBIENTES RESIDENCIAIS, INCLUSIVE ESTRUTURA DE FIXAÇÃO. AF_05/2017_P</t>
  </si>
  <si>
    <t>2.678,42</t>
  </si>
  <si>
    <t>96121U</t>
  </si>
  <si>
    <t>ACABAMENTOS PARA FORRO (RODA-FORRO EM PERFIL METÁLICO E PLÁSTICO). AF_05/2017</t>
  </si>
  <si>
    <t>1.205,30</t>
  </si>
  <si>
    <t>04.01.560</t>
  </si>
  <si>
    <t>Pintura</t>
  </si>
  <si>
    <t>Pintura com hidrorepelente incolor à base de resina de silicone, sobre tijolo aparente</t>
  </si>
  <si>
    <t>PINTURA COM TINTA A BASE DE BORRACHA CLORADA, 2 DEMAOS</t>
  </si>
  <si>
    <t>420,00</t>
  </si>
  <si>
    <t>232,69</t>
  </si>
  <si>
    <t>PINTURA COM TINTA A BASE DE BORRACHA CLORADA , DE FAIXAS DE DEMARCACAO, EM QUADRA POLIESPORTIVA, 5 CM DE LARGURA.</t>
  </si>
  <si>
    <t>ML</t>
  </si>
  <si>
    <t>378,00</t>
  </si>
  <si>
    <t>88488U</t>
  </si>
  <si>
    <t>APLICAÇÃO MANUAL DE PINTURA COM TINTA LÁTEX ACRÍLICA EM TETO, DUAS DEMÃOS. AF_06/2014</t>
  </si>
  <si>
    <t>2.897,19</t>
  </si>
  <si>
    <t>88489U</t>
  </si>
  <si>
    <t>APLICAÇÃO MANUAL DE PINTURA COM TINTA LÁTEX ACRÍLICA EM PAREDES, DUAS DEMÃOS. AF_06/2014</t>
  </si>
  <si>
    <t>88494U</t>
  </si>
  <si>
    <t>APLICAÇÃO E LIXAMENTO DE MASSA LÁTEX EM TETO, UMA DEMÃO. AF_06/2014</t>
  </si>
  <si>
    <t>96129U</t>
  </si>
  <si>
    <t>APLICAÇÃO MANUAL DE MASSA ACRÍLICA EM SUPERFÍCIES INTERNAS DE EDIFÍCIOS, UMA DEMÃO. AF_05/2017</t>
  </si>
  <si>
    <t>04.01.580</t>
  </si>
  <si>
    <t>Mantas termoacústicas</t>
  </si>
  <si>
    <t>Painel com placas de gesso acartonado e isolamento acústico</t>
  </si>
  <si>
    <t>04.01.600</t>
  </si>
  <si>
    <t>Impermeabilizações</t>
  </si>
  <si>
    <t>04.01.603.3U</t>
  </si>
  <si>
    <t>EXECUCAO DE MANTA GEOTEXTIL 400 G/M2</t>
  </si>
  <si>
    <t>4.140,64</t>
  </si>
  <si>
    <t>Impermeabilização com aditivo cristalizante em argamassa ou concreto</t>
  </si>
  <si>
    <t>353,03</t>
  </si>
  <si>
    <t>720,98</t>
  </si>
  <si>
    <t>PREPARO DE SUPERFÍCIE P/ IMPERMEABILIZAÇÃO, ESPESSURA MÉDIA 3CM.EM ARGAMASSA TRAÇO 1:4 (CIMENTO E AREIA), PREPARO MECÂNICO COM BETONEIRA 400 L</t>
  </si>
  <si>
    <t>1.020,22</t>
  </si>
  <si>
    <t>Impermeabilização de cobertura utilizando manta asfáltica com armadura de filme de polietileno - com mão de obra empreitada</t>
  </si>
  <si>
    <t>87765U</t>
  </si>
  <si>
    <t>CONTRAPISO EM ARGAMASSA TRAÇO 1:4 (CIMENTO E AREIA), PREPARO MECÂNICO COM BETONEIRA 400 L, APLICADO EM ÁREAS MOLHADAS SOBRE IMPERMEABILIZAÇÃO, ESPESSURA 4CM. AF_06/2014</t>
  </si>
  <si>
    <t>5.335,22</t>
  </si>
  <si>
    <t>98546U</t>
  </si>
  <si>
    <t>IMPERMEABILIZAÇÃO DE SUPERFÍCIE COM MANTA ASFÁLTICA, UMA CAMADA, INCLUSIVE APLICAÇÃO DE PRIMER ASFÁLTICO, E=3MM. AF_06/2018</t>
  </si>
  <si>
    <t>1.194,58</t>
  </si>
  <si>
    <t>98547U</t>
  </si>
  <si>
    <t>IMPERMEABILIZAÇÃO DE SUPERFÍCIE COM MANTA ASFÁLTICA, DUAS CAMADAS, INCLUSIVE APLICAÇÃO DE PRIMER ASFÁLTICO, E=3MM E E=4MM. AF_06/2018</t>
  </si>
  <si>
    <t>98555U</t>
  </si>
  <si>
    <t>IMPERMEABILIZAÇÃO DE SUPERFÍCIE COM ARGAMASSA POLIMÉRICA / MEMBRANA ACRÍLICA, 3 DEMÃOS. AF_06/2018</t>
  </si>
  <si>
    <t>1.035,90</t>
  </si>
  <si>
    <t>98556U</t>
  </si>
  <si>
    <t>IMPERMEABILIZAÇÃO DE SUPERFÍCIE COM ARGAMASSA POLIMÉRICA / MEMBRANA ACRÍLICA, 4 DEMÃOS, REFORÇADA COM VÉU DE POLIÉSTER (MAV). AF_06/2018</t>
  </si>
  <si>
    <t>1.923,63</t>
  </si>
  <si>
    <t>354,30</t>
  </si>
  <si>
    <t>04.01.700</t>
  </si>
  <si>
    <t>Acabamentos e Arremates</t>
  </si>
  <si>
    <t>04.01.701</t>
  </si>
  <si>
    <t>Rodapés</t>
  </si>
  <si>
    <t>RODAPE EM MARMORITE, ALTURA 10CM</t>
  </si>
  <si>
    <t>1.906,45</t>
  </si>
  <si>
    <t>04.01.702</t>
  </si>
  <si>
    <t>Soleiras</t>
  </si>
  <si>
    <t>04.01.703</t>
  </si>
  <si>
    <t>Peitoris</t>
  </si>
  <si>
    <t>Peitoril com pingadeira em concreto prémoldado largura 75cm, espessura 4cm</t>
  </si>
  <si>
    <t>m</t>
  </si>
  <si>
    <t>188,68</t>
  </si>
  <si>
    <t>Peitoril de granito natural 25 cm, assentado com argamassa mista de cimento, cal e areia</t>
  </si>
  <si>
    <t>175,47</t>
  </si>
  <si>
    <t>04.01.800</t>
  </si>
  <si>
    <t>Equipamentos e Acessórios</t>
  </si>
  <si>
    <t>50,60</t>
  </si>
  <si>
    <t>04.02.000</t>
  </si>
  <si>
    <t>Comunicação Visual</t>
  </si>
  <si>
    <t>20,00</t>
  </si>
  <si>
    <t>11084/ORSE</t>
  </si>
  <si>
    <t>Placa indicativa de setor em acrílico e adesivo dim.: 45 x 22 cm</t>
  </si>
  <si>
    <t>11475/ORSE</t>
  </si>
  <si>
    <t>Placa indicativa em acrílico e adesivo Pictograma dim.: 15 x 15 cm</t>
  </si>
  <si>
    <t>11476/ORSE</t>
  </si>
  <si>
    <t>Placa indicativa de portas em acrílico e adesivo dim.: 12 x 30 cm,</t>
  </si>
  <si>
    <t>91,00</t>
  </si>
  <si>
    <t>04.04.000</t>
  </si>
  <si>
    <t>Paisagismo</t>
  </si>
  <si>
    <t>98503U</t>
  </si>
  <si>
    <t>PLANTIO DE GRAMA EM PAVIMENTO CONCREGRAMA. AF_05/2018</t>
  </si>
  <si>
    <t>896,00</t>
  </si>
  <si>
    <t>98504U</t>
  </si>
  <si>
    <t>PLANTIO DE GRAMA EM PLACAS. AF_05/2018</t>
  </si>
  <si>
    <t>04.05.000</t>
  </si>
  <si>
    <t>Pavimentação</t>
  </si>
  <si>
    <t>04.05.100</t>
  </si>
  <si>
    <t>Serviços Preliminares</t>
  </si>
  <si>
    <t>744,45</t>
  </si>
  <si>
    <t>17.122,35</t>
  </si>
  <si>
    <t>04.05.102</t>
  </si>
  <si>
    <t>Preparo e regularização do subleito</t>
  </si>
  <si>
    <t>REGULARIZACAO E COMPACTACAO DE SUBLEITO ATE 20 CM DE ESPESSURA</t>
  </si>
  <si>
    <t>2.338,00</t>
  </si>
  <si>
    <t>ESCAVACAO MECANICA DE MATERIAL 1A. CATEGORIA, PROVENIENTE DE CORTE DE SUBLEITO (C/TRATOR ESTEIRAS 160HP)</t>
  </si>
  <si>
    <t>468,00</t>
  </si>
  <si>
    <t>04.05.103</t>
  </si>
  <si>
    <t>Guias</t>
  </si>
  <si>
    <t>94273U</t>
  </si>
  <si>
    <t>ASSENTAMENTO DE GUIA (MEIO-FIO) EM TRECHO RETO, CONFECCIONADA EM CONCRETO PRÉ-FABRICADO, DIMENSÕES 100X15X13X30 CM (COMPRIMENTO X BASE INFERIOR X BASE SUPERIOR X ALTURA), PARA VIAS URBANAS (USO VIÁRIO). AF_06/2016</t>
  </si>
  <si>
    <t>339,00</t>
  </si>
  <si>
    <t>04.05.300</t>
  </si>
  <si>
    <t>Sub-bases e Bases</t>
  </si>
  <si>
    <t>Base ou sub-base de brita graduada com brita comercial</t>
  </si>
  <si>
    <t>04.05.600</t>
  </si>
  <si>
    <t>92391U</t>
  </si>
  <si>
    <t>EXECUÇÃO DE PAVIMENTO EM PISO INTERTRAVADO, COM BLOCO PISOGRAMA DE 35 X 25 CM, ESPESSURA 6 CM. AF_12/2015</t>
  </si>
  <si>
    <t>92397U</t>
  </si>
  <si>
    <t>EXECUÇÃO DE PÁTIO/ESTACIONAMENTO EM PISO INTERTRAVADO, COM BLOCO RETANGULAR COR NATURAL DE 20 X 10 CM, ESPESSURA 6 CM. AF_12/2015</t>
  </si>
  <si>
    <t>04.05.610</t>
  </si>
  <si>
    <t>Calçadas externas</t>
  </si>
  <si>
    <t>92396U</t>
  </si>
  <si>
    <t>EXECUÇÃO DE PASSEIO EM PISO INTERTRAVADO, COM BLOCO RETANGULAR COR NATURAL DE 20 X 10 CM, ESPESSURA 6 CM. AF_12/2015</t>
  </si>
  <si>
    <t>04.06.000</t>
  </si>
  <si>
    <t>Sistema Viário</t>
  </si>
  <si>
    <t>Pintura de faixa - termoplástico por aspersão - espessura de 1,5 mm</t>
  </si>
  <si>
    <t>48,30</t>
  </si>
  <si>
    <t>Confecção de placa em aluminio, espessura de 1,5 mm, modulada, aérea, com película retrorrefletiva tipo III + III</t>
  </si>
  <si>
    <t>Pintura de setas e zebrados - termoplástico por aspersão - espessura de 1,5 mm</t>
  </si>
  <si>
    <t>30,60</t>
  </si>
  <si>
    <t>05.00.000</t>
  </si>
  <si>
    <t>INSTALAÇÕES HIDRÁULICAS E SANITÁRIAS</t>
  </si>
  <si>
    <t>05.01.000</t>
  </si>
  <si>
    <t>Água Fria</t>
  </si>
  <si>
    <t>05.01.100</t>
  </si>
  <si>
    <t>Tubulações de aço carbono</t>
  </si>
  <si>
    <t>89352U</t>
  </si>
  <si>
    <t>REGISTRO DE GAVETA BRUTO, LATÃO, ROSCÁVEL, 1/2", FORNECIDO E INSTALADO EM RAMAL DE ÁGUA. AF_12/2014</t>
  </si>
  <si>
    <t>9,00</t>
  </si>
  <si>
    <t>92344U</t>
  </si>
  <si>
    <t>NIPLE, EM FERRO GALVANIZADO, DN 50 (2"), CONEXÃO ROSQUEADA, INSTALADO EM PRUMADAS - FORNECIMENTO E INSTALAÇÃO. AF_12/2015</t>
  </si>
  <si>
    <t>92365U</t>
  </si>
  <si>
    <t>TUBO DE AÇO GALVANIZADO COM COSTURA, CLASSE MÉDIA, DN 40 (1 1/2"), CONEXÃO ROSQUEADA, INSTALADO EM REDE DE ALIMENTAÇÃO PARA HIDRANTE - FORNECIMENTO E INSTALAÇÃO. AF_12/2015</t>
  </si>
  <si>
    <t>12,00</t>
  </si>
  <si>
    <t>92366U</t>
  </si>
  <si>
    <t>TUBO DE AÇO GALVANIZADO COM COSTURA, CLASSE MÉDIA, DN 50 (2"), CONEXÃO ROSQUEADA, INSTALADO EM REDE DE ALIMENTAÇÃO PARA HIDRANTE - FORNECIMENTO E INSTALAÇÃO. AF_12/2015</t>
  </si>
  <si>
    <t>6,00</t>
  </si>
  <si>
    <t>92373U</t>
  </si>
  <si>
    <t>NIPLE, EM FERRO GALVANIZADO, DN 40 (1 1/2"), CONEXÃO ROSQUEADA, INSTALADO EM REDE DE ALIMENTAÇÃO PARA HIDRANTE - FORNECIMENTO E INSTALAÇÃO. AF_12/2015</t>
  </si>
  <si>
    <t>92639U</t>
  </si>
  <si>
    <t>TÊ, EM FERRO GALVANIZADO, CONEXÃO ROSQUEADA, DN 40 (1 1/2"), INSTALADO EM REDE DE ALIMENTAÇÃO PARA HIDRANTE - FORNECIMENTO E INSTALAÇÃO. AF_12/2015</t>
  </si>
  <si>
    <t>5,00</t>
  </si>
  <si>
    <t>92901U</t>
  </si>
  <si>
    <t>UNIÃO, EM FERRO GALVANIZADO, CONEXÃO ROSQUEADA, DN 50 (2"), INSTALADO EM REDE DE ALIMENTAÇÃO PARA SPRINKLER - FORNECIMENTO E INSTALAÇÃO. AF_12/2015</t>
  </si>
  <si>
    <t>92904U</t>
  </si>
  <si>
    <t>UNIÃO, EM FERRO GALVANIZADO, CONEXÃO ROSQUEADA, DN 15 (1/2"), INSTALADO EM RAMAIS E SUB-RAMAIS DE GÁS - FORNECIMENTO E INSTALAÇÃO. AF_12/2015</t>
  </si>
  <si>
    <t>7,00</t>
  </si>
  <si>
    <t>93063U</t>
  </si>
  <si>
    <t>JUNTA DE EXPANSÃO EM BRONZE/LATÃO, DN 35 MM, PONTA X PONTA, INSTALADO EM PRUMADA ? FORNECIMENTO E INSTALAÇÃO. AF_01/2016</t>
  </si>
  <si>
    <t>93069U</t>
  </si>
  <si>
    <t>JUNTA DE EXPANSÃO EM BRONZE/LATÃO, DN 54 MM, PONTA X PONTA, INSTALADO EM PRUMADA ? FORNECIMENTO E INSTALAÇÃO. AF_01/2016</t>
  </si>
  <si>
    <t>94498U</t>
  </si>
  <si>
    <t>REGISTRO DE GAVETA BRUTO, LATÃO, ROSCÁVEL, 2?, INSTALADO EM RESERVAÇÃO DE ÁGUA DE EDIFICAÇÃO QUE POSSUA RESERVATÓRIO DE FIBRA/FIBROCIMENTO ? FORNECIMENTO E INSTALAÇÃO. AF_06/2016</t>
  </si>
  <si>
    <t>94711U</t>
  </si>
  <si>
    <t>ADAPTADOR COM FLANGES LIVRES, PVC, SOLDÁVEL, DN 50 MM X 1 1/2 , INSTALADO EM RESERVAÇÃO DE ÁGUA DE EDIFICAÇÃO QUE POSSUA RESERVATÓRIO DE FIBRA/FIBROCIMENTO FORNECIMENTO E INSTALAÇÃO. AF_06/2016</t>
  </si>
  <si>
    <t>99627U</t>
  </si>
  <si>
    <t>VÁLVULA DE RETENÇÃO VERTICAL, DE BRONZE, ROSCÁVEL, 1/2" - FORNECIMENTO E INSTALAÇÃO. AF_01/2019</t>
  </si>
  <si>
    <t>05.01.200</t>
  </si>
  <si>
    <t>Tubulações e Conexões de PVC rígido</t>
  </si>
  <si>
    <t>Joelho 90° soldável PVC com rosca metálica Ø 25 mm x 1/2"</t>
  </si>
  <si>
    <t>150,00</t>
  </si>
  <si>
    <t>Bucha de redução soldável PVC curta Ø 32 mm x 25 mm</t>
  </si>
  <si>
    <t>Bucha de redução soldável PVC curta Ø 40 mm x 32 mm</t>
  </si>
  <si>
    <t>Bucha de redução soldável PVC curta Ø 50 mm x 40 mm</t>
  </si>
  <si>
    <t>8,00</t>
  </si>
  <si>
    <t>89381U</t>
  </si>
  <si>
    <t>LUVA COM BUCHA DE LATÃO, PVC, SOLDÁVEL, DN 25MM X 3/4?, INSTALADO EM RAMAL OU SUB-RAMAL DE ÁGUA - FORNECIMENTO E INSTALAÇÃO. AF_12/2014</t>
  </si>
  <si>
    <t>21,00</t>
  </si>
  <si>
    <t>89409U</t>
  </si>
  <si>
    <t>JOELHO 45 GRAUS, PVC, SOLDÁVEL, DN 25MM, INSTALADO EM RAMAL DE DISTRIBUIÇÃO DE ÁGUA - FORNECIMENTO E INSTALAÇÃO. AF_12/2014</t>
  </si>
  <si>
    <t>80,00</t>
  </si>
  <si>
    <t>89425U</t>
  </si>
  <si>
    <t>LUVA DE CORRER, PVC, SOLDÁVEL, DN 25MM, INSTALADO EM RAMAL DE DISTRIBUIÇÃO DE ÁGUA - FORNECIMENTO E INSTALAÇÃO. AF_12/2014</t>
  </si>
  <si>
    <t>50,00</t>
  </si>
  <si>
    <t>89446U</t>
  </si>
  <si>
    <t>TUBO, PVC, SOLDÁVEL, DN 25MM, INSTALADO EM PRUMADA DE ÁGUA - FORNECIMENTO E INSTALAÇÃO. AF_12/2014</t>
  </si>
  <si>
    <t>488,00</t>
  </si>
  <si>
    <t>89447U</t>
  </si>
  <si>
    <t>TUBO, PVC, SOLDÁVEL, DN 32MM, INSTALADO EM PRUMADA DE ÁGUA - FORNECIMENTO E INSTALAÇÃO. AF_12/2014</t>
  </si>
  <si>
    <t>89448U</t>
  </si>
  <si>
    <t>TUBO, PVC, SOLDÁVEL, DN 40MM, INSTALADO EM PRUMADA DE ÁGUA - FORNECIMENTO E INSTALAÇÃO. AF_12/2014</t>
  </si>
  <si>
    <t>272,00</t>
  </si>
  <si>
    <t>89449U</t>
  </si>
  <si>
    <t>TUBO, PVC, SOLDÁVEL, DN 50MM, INSTALADO EM PRUMADA DE ÁGUA - FORNECIMENTO E INSTALAÇÃO. AF_12/2014</t>
  </si>
  <si>
    <t>117,00</t>
  </si>
  <si>
    <t>89450U</t>
  </si>
  <si>
    <t>TUBO, PVC, SOLDÁVEL, DN 60MM, INSTALADO EM PRUMADA DE ÁGUA - FORNECIMENTO E INSTALAÇÃO. AF_12/2014</t>
  </si>
  <si>
    <t>89489U</t>
  </si>
  <si>
    <t>CURVA 90 GRAUS, PVC, SOLDÁVEL, DN 25MM, INSTALADO EM PRUMADA DE ÁGUA - FORNECIMENTO E INSTALAÇÃO. AF_12/2014</t>
  </si>
  <si>
    <t>89494U</t>
  </si>
  <si>
    <t>CURVA 90 GRAUS, PVC, SOLDÁVEL, DN 32MM, INSTALADO EM PRUMADA DE ÁGUA - FORNECIMENTO E INSTALAÇÃO. AF_12/2014</t>
  </si>
  <si>
    <t>89498U</t>
  </si>
  <si>
    <t>JOELHO 45 GRAUS, PVC, SOLDÁVEL, DN 40MM, INSTALADO EM PRUMADA DE ÁGUA - FORNECIMENTO E INSTALAÇÃO. AF_12/2014</t>
  </si>
  <si>
    <t>89499U</t>
  </si>
  <si>
    <t>CURVA 90 GRAUS, PVC, SOLDÁVEL, DN 40MM, INSTALADO EM PRUMADA DE ÁGUA - FORNECIMENTO E INSTALAÇÃO. AF_12/2014</t>
  </si>
  <si>
    <t>89502U</t>
  </si>
  <si>
    <t>JOELHO 45 GRAUS, PVC, SOLDÁVEL, DN 50MM, INSTALADO EM PRUMADA DE ÁGUA - FORNECIMENTO E INSTALAÇÃO. AF_12/2014</t>
  </si>
  <si>
    <t>89503U</t>
  </si>
  <si>
    <t>CURVA 90 GRAUS, PVC, SOLDÁVEL, DN 50MM, INSTALADO EM PRUMADA DE ÁGUA - FORNECIMENTO E INSTALAÇÃO. AF_12/2014</t>
  </si>
  <si>
    <t>344,00</t>
  </si>
  <si>
    <t>89507U</t>
  </si>
  <si>
    <t>CURVA 90 GRAUS, PVC, SOLDÁVEL, DN 60MM, INSTALADO EM PRUMADA DE ÁGUA - FORNECIMENTO E INSTALAÇÃO. AF_12/2014</t>
  </si>
  <si>
    <t>94688U</t>
  </si>
  <si>
    <t>TÊ, PVC, SOLDÁVEL, DN 25 MM INSTALADO EM RESERVAÇÃO DE ÁGUA DE EDIFICAÇÃO QUE POSSUA RESERVATÓRIO DE FIBRA/FIBROCIMENTO FORNECIMENTO E INSTALAÇÃO. AF_06/2016</t>
  </si>
  <si>
    <t>120,00</t>
  </si>
  <si>
    <t>94692U</t>
  </si>
  <si>
    <t>TÊ, PVC, SOLDÁVEL, DN 40 MM INSTALADO EM RESERVAÇÃO DE ÁGUA DE EDIFICAÇÃO QUE POSSUA RESERVATÓRIO DE FIBRA/FIBROCIMENTO FORNECIMENTO E INSTALAÇÃO. AF_06/2016</t>
  </si>
  <si>
    <t>94694U</t>
  </si>
  <si>
    <t>TÊ, PVC, SOLDÁVEL, DN 50 MM INSTALADO EM RESERVAÇÃO DE ÁGUA DE EDIFICAÇÃO QUE POSSUA RESERVATÓRIO DE FIBRA/FIBROCIMENTO FORNECIMENTO E INSTALAÇÃO. AF_06/2016</t>
  </si>
  <si>
    <t>94696U</t>
  </si>
  <si>
    <t>TÊ, PVC, SOLDÁVEL, DN 60 MM INSTALADO EM RESERVAÇÃO DE ÁGUA DE EDIFICAÇÃO QUE POSSUA RESERVATÓRIO DE FIBRA/FIBROCIMENTO FORNECIMENTO E INSTALAÇÃO. AF_06/2016</t>
  </si>
  <si>
    <t>05.01.500</t>
  </si>
  <si>
    <t>Aparelhos e Acessórios Sanitários</t>
  </si>
  <si>
    <t>09676/ORSE</t>
  </si>
  <si>
    <t>47,00</t>
  </si>
  <si>
    <t>12132/ORSE</t>
  </si>
  <si>
    <t>CJ</t>
  </si>
  <si>
    <t>Porta papel toalha para papel interfolha 2 ou 3 dobras, injetado com a frente em plástico ABS branco, com visor frontal para controle de substituição do papel interfolha e fundo em Plástico ABS cinza.</t>
  </si>
  <si>
    <t>Lavatório de louça com coluna suspensa, barra de apoio de canto e misturador monocomando, para pessoas portadoras de necessidades especiais</t>
  </si>
  <si>
    <t>MICTORIO SIFONADO DE LOUCA BRANCA COM PERTENCES, COM REGISTRO DE PRESSAO 1/2" COM CANOPLA CROMADA ACABAMENTO SIMPLES E CONJUNTO PARA FIXACAO - FORNECIMENTO E INSTALACAO</t>
  </si>
  <si>
    <t>13,00</t>
  </si>
  <si>
    <t>86909U</t>
  </si>
  <si>
    <t>TORNEIRA CROMADA TUBO MÓVEL, DE MESA, 1/2" OU 3/4", PARA PIA DE COZINHA, PADRÃO ALTO - FORNECIMENTO E INSTALAÇÃO. AF_12/2013</t>
  </si>
  <si>
    <t>86922U</t>
  </si>
  <si>
    <t>TANQUE DE LOUÇA BRANCA SUSPENSO, 18L OU EQUIVALENTE, INCLUSO SIFÃO TIPO GARRAFA EM METAL CROMADO, VÁLVULA METÁLICA E TORNEIRA DE METAL CROMADO PADRÃO MÉDIO - FORNECIMENTO E INSTALAÇÃO. AF_12/2013</t>
  </si>
  <si>
    <t>86932U</t>
  </si>
  <si>
    <t>VASO SANITÁRIO SIFONADO COM CAIXA ACOPLADA LOUÇA BRANCA - PADRÃO MÉDIO, INCLUSO ENGATE FLEXÍVEL EM METAL CROMADO, 1/2? X 40CM - FORNECIMENTO E INSTALAÇÃO. AF_12/2013</t>
  </si>
  <si>
    <t>45,00</t>
  </si>
  <si>
    <t>86936U</t>
  </si>
  <si>
    <t>CUBA DE EMBUTIR DE AÇO INOXIDÁVEL MÉDIA, INCLUSO VÁLVULA TIPO AMERICANA E SIFÃO TIPO GARRAFA EM METAL CROMADO - FORNECIMENTO E INSTALAÇÃO. AF_12/2013</t>
  </si>
  <si>
    <t>86938U</t>
  </si>
  <si>
    <t>CUBA DE EMBUTIR OVAL EM LOUÇA BRANCA, 35 X 50CM OU EQUIVALENTE, INCLUSO VÁLVULA E SIFÃO TIPO GARRAFA EM METAL CROMADO - FORNECIMENTO E INSTALAÇÃO. AF_12/2013</t>
  </si>
  <si>
    <t>86942U</t>
  </si>
  <si>
    <t>LAVATÓRIO LOUÇA BRANCA SUSPENSO, 29,5 X 39CM OU EQUIVALENTE, PADRÃO POPULAR, INCLUSO SIFÃO TIPO GARRAFA EM PVC, VÁLVULA E ENGATE FLEXÍVEL 30CM EM PLÁSTICO E TORNEIRA CROMADA DE MESA, PADRÃO POPULAR - FORNECIMENTO E INSTALAÇÃO. AF_12/2013</t>
  </si>
  <si>
    <t>89987U</t>
  </si>
  <si>
    <t>REGISTRO DE GAVETA BRUTO, LATÃO, ROSCÁVEL, 3/4", COM ACABAMENTO E CANOPLA CROMADOS. FORNECIDO E INSTALADO EM RAMAL DE ÁGUA. AF_12/2014</t>
  </si>
  <si>
    <t>30,00</t>
  </si>
  <si>
    <t>95472U</t>
  </si>
  <si>
    <t>VASO SANITARIO SIFONADO CONVENCIONAL PARA PCD SEM FURO FRONTAL COM LOUÇA BRANCA SEM ASSENTO, INCLUSO CONJUNTO DE LIGAÇÃO PARA BACIA SANITÁRIA AJUSTÁVEL - FORNECIMENTO E INSTALAÇÃO. AF_10/2016</t>
  </si>
  <si>
    <t>95544U</t>
  </si>
  <si>
    <t>PAPELEIRA DE PAREDE EM METAL CROMADO SEM TAMPA, INCLUSO FIXAÇÃO. AF_10/2016</t>
  </si>
  <si>
    <t>54,00</t>
  </si>
  <si>
    <t>95547U</t>
  </si>
  <si>
    <t>SABONETEIRA PLASTICA TIPO DISPENSER PARA SABONETE LIQUIDO COM RESERVATORIO 800 A 1500 ML, INCLUSO FIXAÇÃO. AF_10/2016</t>
  </si>
  <si>
    <t>05.01.600</t>
  </si>
  <si>
    <t>Equipamentos</t>
  </si>
  <si>
    <t>BOMBA RECALQUE DAGUA TRIFASICA 1,5HP</t>
  </si>
  <si>
    <t>CHAVE DE BOIA AUTOMÁTICA</t>
  </si>
  <si>
    <t>05.03.000</t>
  </si>
  <si>
    <t>Drenagem de Águas Pluviais</t>
  </si>
  <si>
    <t>05.03.300</t>
  </si>
  <si>
    <t>Tubulações e Conexões de PVC</t>
  </si>
  <si>
    <t>PINTURA A OLEO BRILHANTE SOBRE SUPERFICIE METALICA, UMA DEMAO INCLUSO UMA DEMAO DE FUNDO ANTICORROSIVO</t>
  </si>
  <si>
    <t>73,00</t>
  </si>
  <si>
    <t>RALO HEMISFÉRICO DE F°F°, TIPO ABACAXI 75MM</t>
  </si>
  <si>
    <t>RALO HEMISFÉRICO DE F°F°, TIPO ABACAXI 100MM</t>
  </si>
  <si>
    <t>62,00</t>
  </si>
  <si>
    <t>230,00</t>
  </si>
  <si>
    <t>301,00</t>
  </si>
  <si>
    <t>41,00</t>
  </si>
  <si>
    <t>206,00</t>
  </si>
  <si>
    <t>05.03.350</t>
  </si>
  <si>
    <t>Caixas de passagem</t>
  </si>
  <si>
    <t>99260U</t>
  </si>
  <si>
    <t>CAIXA ENTERRADA HIDRÁULICA RETANGULAR, EM ALVENARIA COM BLOCOS DE CONCRETO, DIMENSÕES INTERNAS: 0,6X0,6X0,6 M PARA REDE DE DRENAGEM. AF_05/2018</t>
  </si>
  <si>
    <t>19,00</t>
  </si>
  <si>
    <t>99264U</t>
  </si>
  <si>
    <t>CAIXA ENTERRADA HIDRÁULICA RETANGULAR, EM ALVENARIA COM BLOCOS DE CONCRETO, DIMENSÕES INTERNAS: 1X1X0,6 M PARA REDE DE DRENAGEM. AF_05/2018</t>
  </si>
  <si>
    <t>11,00</t>
  </si>
  <si>
    <t>05.03.900</t>
  </si>
  <si>
    <t>Escavações e Reaterros</t>
  </si>
  <si>
    <t>93358U</t>
  </si>
  <si>
    <t>ESCAVAÇÃO MANUAL DE VALA COM PROFUNDIDADE MENOR OU IGUAL A 1,30 M. AF_03/2016</t>
  </si>
  <si>
    <t>228,00</t>
  </si>
  <si>
    <t>210,00</t>
  </si>
  <si>
    <t>05.04.000</t>
  </si>
  <si>
    <t>Esgotos Sanitários</t>
  </si>
  <si>
    <t>05.04.300</t>
  </si>
  <si>
    <t>Bucha de redução soldável PVC longa Ø 110 mm x 75 mm</t>
  </si>
  <si>
    <t>CAP PVC ESGOTO 100MM (TAMPÃO) - FORNECIMENTO E INSTALAÇÃO</t>
  </si>
  <si>
    <t>89545U</t>
  </si>
  <si>
    <t>LUVA SIMPLES, PVC, SERIE R, ÁGUA PLUVIAL, DN 50 MM, JUNTA ELÁSTICA, FORNECIDO E INSTALADO EM RAMAL DE ENCAMINHAMENTO. AF_12/2014</t>
  </si>
  <si>
    <t>92,00</t>
  </si>
  <si>
    <t>89547U</t>
  </si>
  <si>
    <t>LUVA SIMPLES, PVC, SERIE R, ÁGUA PLUVIAL, DN 75 MM, JUNTA ELÁSTICA, FORNECIDO E INSTALADO EM RAMAL DE ENCAMINHAMENTO. AF_12/2014</t>
  </si>
  <si>
    <t>46,00</t>
  </si>
  <si>
    <t>89554U</t>
  </si>
  <si>
    <t>LUVA SIMPLES, PVC, SERIE R, ÁGUA PLUVIAL, DN 100 MM, JUNTA ELÁSTICA, FORNECIDO E INSTALADO EM RAMAL DE ENCAMINHAMENTO. AF_12/2014</t>
  </si>
  <si>
    <t>109,00</t>
  </si>
  <si>
    <t>89561U</t>
  </si>
  <si>
    <t>JUNÇÃO SIMPLES, PVC, SERIE R, ÁGUA PLUVIAL, DN 40 MM, JUNTA SOLDÁVEL, FORNECIDO E INSTALADO EM RAMAL DE ENCAMINHAMENTO. AF_12/2014</t>
  </si>
  <si>
    <t>89565U</t>
  </si>
  <si>
    <t>JUNÇÃO SIMPLES, PVC, SERIE R, ÁGUA PLUVIAL, DN 75 X 75 MM, JUNTA ELÁSTICA, FORNECIDO E INSTALADO EM RAMAL DE ENCAMINHAMENTO. AF_12/2014</t>
  </si>
  <si>
    <t>89567U</t>
  </si>
  <si>
    <t>JUNÇÃO SIMPLES, PVC, SERIE R, ÁGUA PLUVIAL, DN 100 X 100 MM, JUNTA ELÁSTICA, FORNECIDO E INSTALADO EM RAMAL DE ENCAMINHAMENTO. AF_12/2014</t>
  </si>
  <si>
    <t>38,00</t>
  </si>
  <si>
    <t>89569U</t>
  </si>
  <si>
    <t>JUNÇÃO SIMPLES, PVC, SERIE R, ÁGUA PLUVIAL, DN 100 X 75 MM, JUNTA ELÁSTICA, FORNECIDO E INSTALADO EM RAMAL DE ENCAMINHAMENTO. AF_12/2014</t>
  </si>
  <si>
    <t>89571U</t>
  </si>
  <si>
    <t>TÊ, PVC, SERIE R, ÁGUA PLUVIAL, DN 100 X 100 MM, JUNTA ELÁSTICA, FORNECIDO E INSTALADO EM RAMAL DE ENCAMINHAMENTO. AF_12/2014</t>
  </si>
  <si>
    <t>89711U</t>
  </si>
  <si>
    <t>TUBO PVC, SERIE NORMAL, ESGOTO PREDIAL, DN 40 MM, FORNECIDO E INSTALADO EM RAMAL DE DESCARGA OU RAMAL DE ESGOTO SANITÁRIO. AF_12/2014</t>
  </si>
  <si>
    <t>175,00</t>
  </si>
  <si>
    <t>89712U</t>
  </si>
  <si>
    <t>TUBO PVC, SERIE NORMAL, ESGOTO PREDIAL, DN 50 MM, FORNECIDO E INSTALADO EM RAMAL DE DESCARGA OU RAMAL DE ESGOTO SANITÁRIO. AF_12/2014</t>
  </si>
  <si>
    <t>89713U</t>
  </si>
  <si>
    <t>TUBO PVC, SERIE NORMAL, ESGOTO PREDIAL, DN 75 MM, FORNECIDO E INSTALADO EM RAMAL DE DESCARGA OU RAMAL DE ESGOTO SANITÁRIO. AF_12/2014</t>
  </si>
  <si>
    <t>160,00</t>
  </si>
  <si>
    <t>89714U</t>
  </si>
  <si>
    <t>TUBO PVC, SERIE NORMAL, ESGOTO PREDIAL, DN 100 MM, FORNECIDO E INSTALADO EM RAMAL DE DESCARGA OU RAMAL DE ESGOTO SANITÁRIO. AF_12/2014</t>
  </si>
  <si>
    <t>805,00</t>
  </si>
  <si>
    <t>89724U</t>
  </si>
  <si>
    <t>JOELHO 90 GRAUS, PVC, SERIE NORMAL, ESGOTO PREDIAL, DN 40 MM, JUNTA SOLDÁVEL, FORNECIDO E INSTALADO EM RAMAL DE DESCARGA OU RAMAL DE ESGOTO SANITÁRIO. AF_12/2014</t>
  </si>
  <si>
    <t>172,00</t>
  </si>
  <si>
    <t>89726U</t>
  </si>
  <si>
    <t>JOELHO 45 GRAUS, PVC, SERIE NORMAL, ESGOTO PREDIAL, DN 40 MM, JUNTA SOLDÁVEL, FORNECIDO E INSTALADO EM RAMAL DE DESCARGA OU RAMAL DE ESGOTO SANITÁRIO. AF_12/2014</t>
  </si>
  <si>
    <t>89748U</t>
  </si>
  <si>
    <t>CURVA CURTA 90 GRAUS, PVC, SERIE NORMAL, ESGOTO PREDIAL, DN 100 MM, JUNTA ELÁSTICA, FORNECIDO E INSTALADO EM RAMAL DE DESCARGA OU RAMAL DE ESGOTO SANITÁRIO. AF_12/2014</t>
  </si>
  <si>
    <t>125,00</t>
  </si>
  <si>
    <t>89801U</t>
  </si>
  <si>
    <t>JOELHO 90 GRAUS, PVC, SERIE NORMAL, ESGOTO PREDIAL, DN 50 MM, JUNTA ELÁSTICA, FORNECIDO E INSTALADO EM PRUMADA DE ESGOTO SANITÁRIO OU VENTILAÇÃO. AF_12/2014</t>
  </si>
  <si>
    <t>89802U</t>
  </si>
  <si>
    <t>JOELHO 45 GRAUS, PVC, SERIE NORMAL, ESGOTO PREDIAL, DN 50 MM, JUNTA ELÁSTICA, FORNECIDO E INSTALADO EM PRUMADA DE ESGOTO SANITÁRIO OU VENTILAÇÃO. AF_12/2014</t>
  </si>
  <si>
    <t>89805U</t>
  </si>
  <si>
    <t>JOELHO 90 GRAUS, PVC, SERIE NORMAL, ESGOTO PREDIAL, DN 75 MM, JUNTA ELÁSTICA, FORNECIDO E INSTALADO EM PRUMADA DE ESGOTO SANITÁRIO OU VENTILAÇÃO. AF_12/2014</t>
  </si>
  <si>
    <t>89806U</t>
  </si>
  <si>
    <t>JOELHO 45 GRAUS, PVC, SERIE NORMAL, ESGOTO PREDIAL, DN 75 MM, JUNTA ELÁSTICA, FORNECIDO E INSTALADO EM PRUMADA DE ESGOTO SANITÁRIO OU VENTILAÇÃO. AF_12/2014</t>
  </si>
  <si>
    <t>89810U</t>
  </si>
  <si>
    <t>JOELHO 45 GRAUS, PVC, SERIE NORMAL, ESGOTO PREDIAL, DN 100 MM, JUNTA ELÁSTICA, FORNECIDO E INSTALADO EM PRUMADA DE ESGOTO SANITÁRIO OU VENTILAÇÃO. AF_12/2014</t>
  </si>
  <si>
    <t>60,00</t>
  </si>
  <si>
    <t>05.04.800</t>
  </si>
  <si>
    <t>Acessórios</t>
  </si>
  <si>
    <t>TAMPAO FOFO SIMPLES COM BASE, CLASSE A15 CARGA MAX 1,5 T, 300 X 300 MM, REDE PLUVIAL/ESGOTO</t>
  </si>
  <si>
    <t>ASSENTAMENTO DE TAMPAO DE FERRO FUNDIDO 600 MM</t>
  </si>
  <si>
    <t>97906U</t>
  </si>
  <si>
    <t>CAIXA ENTERRADA HIDRÁULICA RETANGULAR, EM ALVENARIA COM BLOCOS DE CONCRETO, DIMENSÕES INTERNAS: 0,6X0,6X0,6 M PARA REDE DE ESGOTO. AF_05/2018</t>
  </si>
  <si>
    <t>97908U</t>
  </si>
  <si>
    <t>CAIXA ENTERRADA HIDRÁULICA RETANGULAR, EM ALVENARIA COM BLOCOS DE CONCRETO, DIMENSÕES INTERNAS: 1X1X0,6 M PARA REDE DE ESGOTO. AF_05/2018</t>
  </si>
  <si>
    <t>98102U</t>
  </si>
  <si>
    <t>CAIXA DE GORDURA SIMPLES, CIRCULAR, EM CONCRETO PRÉ-MOLDADO, DIÂMETRO INTERNO = 0,4 M, ALTURA INTERNA = 0,4 M. AF_05/2018</t>
  </si>
  <si>
    <t>98104U</t>
  </si>
  <si>
    <t>CAIXA DE GORDURA SIMPLES (CAPACIDADE: 36L), RETANGULAR, EM ALVENARIA COM TIJOLOS CERÂMICOS MACIÇOS, DIMENSÕES INTERNAS = 0,2X0,4 M, ALTURA INTERNA = 0,8 M. AF_05/2018</t>
  </si>
  <si>
    <t>05.04.900</t>
  </si>
  <si>
    <t>168,00</t>
  </si>
  <si>
    <t>161,00</t>
  </si>
  <si>
    <t>06.00.000</t>
  </si>
  <si>
    <t>INSTALAÇÕES ELÉTRICAS E ELETRÔNICAS</t>
  </si>
  <si>
    <t>06.01.000</t>
  </si>
  <si>
    <t>Instalações Elétricas</t>
  </si>
  <si>
    <t>06.01.100</t>
  </si>
  <si>
    <t>Entrada e Medição de Energia em B.T.</t>
  </si>
  <si>
    <t>Conjunto de medição trifásico e entrada de energia</t>
  </si>
  <si>
    <t>06.01.101</t>
  </si>
  <si>
    <t>Condutores de entrada</t>
  </si>
  <si>
    <t>93000U</t>
  </si>
  <si>
    <t>CABO DE COBRE FLEXÍVEL ISOLADO, 240 MM², ANTI-CHAMA 0,6/1,0 KV, PARA DISTRIBUIÇÃO - FORNECIMENTO E INSTALAÇÃO. AF_12/2015</t>
  </si>
  <si>
    <t>185,00</t>
  </si>
  <si>
    <t>06.01.103</t>
  </si>
  <si>
    <t>Eletrodutos</t>
  </si>
  <si>
    <t>93012U</t>
  </si>
  <si>
    <t>ELETRODUTO RÍGIDO ROSCÁVEL, PVC, DN 110 MM (4") - FORNECIMENTO E INSTALAÇÃO. AF_12/2015</t>
  </si>
  <si>
    <t>31,00</t>
  </si>
  <si>
    <t>93026U</t>
  </si>
  <si>
    <t>CURVA 90 GRAUS PARA ELETRODUTO, PVC, ROSCÁVEL, DN 110 MM (4") - FORNECIMENTO E INSTALAÇÃO. AF_12/2015</t>
  </si>
  <si>
    <t>06.01.104</t>
  </si>
  <si>
    <t>Caixas</t>
  </si>
  <si>
    <t>CAIXA DE PASSAGEM 50X50X50 COM TAMPÃO T33 E DRENO BRITA</t>
  </si>
  <si>
    <t>06.01.300</t>
  </si>
  <si>
    <t>Redes de Baixa Tensão</t>
  </si>
  <si>
    <t>06.01.301</t>
  </si>
  <si>
    <t>Quadro geral de baixa tensão</t>
  </si>
  <si>
    <t>QDF Geral</t>
  </si>
  <si>
    <t>06.01.302</t>
  </si>
  <si>
    <t>Quadros de força</t>
  </si>
  <si>
    <t>QL-1</t>
  </si>
  <si>
    <t>QL-2</t>
  </si>
  <si>
    <t>QL-3</t>
  </si>
  <si>
    <t>QL-4</t>
  </si>
  <si>
    <t>QL-5</t>
  </si>
  <si>
    <t>QL-6</t>
  </si>
  <si>
    <t>QL-7</t>
  </si>
  <si>
    <t>QL-Guarita</t>
  </si>
  <si>
    <t>07538/ORSE</t>
  </si>
  <si>
    <t>Quadro de comando para 2 bombas de recalques de 1/3 a 2 cv, trifásica, 220 volts, com chave seletora, acionamento manual/automático, relé de sobrecarga e contatora</t>
  </si>
  <si>
    <t>90458U</t>
  </si>
  <si>
    <t>QUEBRA EM ALVENARIA PARA INSTALAÇÃO DE QUADRO DISTRIBUIÇÃO GRANDE (76X40 CM). AF_05/2015</t>
  </si>
  <si>
    <t>06.01.304</t>
  </si>
  <si>
    <t>148,00</t>
  </si>
  <si>
    <t>91855U</t>
  </si>
  <si>
    <t>ELETRODUTO FLEXÍVEL CORRUGADO REFORÇADO, PVC, DN 25 MM (3/4"), PARA CIRCUITOS TERMINAIS, INSTALADO EM PAREDE - FORNECIMENTO E INSTALAÇÃO. AF_12/2015</t>
  </si>
  <si>
    <t>1.487,00</t>
  </si>
  <si>
    <t>91867U</t>
  </si>
  <si>
    <t>ELETRODUTO RÍGIDO ROSCÁVEL, PVC, DN 25 MM (3/4"), PARA CIRCUITOS TERMINAIS, INSTALADO EM LAJE - FORNECIMENTO E INSTALAÇÃO. AF_12/2015</t>
  </si>
  <si>
    <t>91868U</t>
  </si>
  <si>
    <t>ELETRODUTO RÍGIDO ROSCÁVEL, PVC, DN 32 MM (1"), PARA CIRCUITOS TERMINAIS, INSTALADO EM LAJE - FORNECIMENTO E INSTALAÇÃO. AF_12/2015</t>
  </si>
  <si>
    <t>91869U</t>
  </si>
  <si>
    <t>ELETRODUTO RÍGIDO ROSCÁVEL, PVC, DN 40 MM (1 1/4"), PARA CIRCUITOS TERMINAIS, INSTALADO EM LAJE - FORNECIMENTO E INSTALAÇÃO. AF_12/2015</t>
  </si>
  <si>
    <t>413,00</t>
  </si>
  <si>
    <t>91917U</t>
  </si>
  <si>
    <t>CURVA 90 GRAUS PARA ELETRODUTO, PVC, ROSCÁVEL, DN 32 MM (1"), PARA CIRCUITOS TERMINAIS, INSTALADA EM PAREDE - FORNECIMENTO E INSTALAÇÃO. AF_12/2015</t>
  </si>
  <si>
    <t>91920U</t>
  </si>
  <si>
    <t>CURVA 90 GRAUS PARA ELETRODUTO, PVC, ROSCÁVEL, DN 40 MM (1 1/4"), PARA CIRCUITOS TERMINAIS, INSTALADA EM PAREDE - FORNECIMENTO E INSTALAÇÃO. AF_12/2015</t>
  </si>
  <si>
    <t>93008U</t>
  </si>
  <si>
    <t>ELETRODUTO RÍGIDO ROSCÁVEL, PVC, DN 50 MM (1 1/2") - FORNECIMENTO E INSTALAÇÃO. AF_12/2015</t>
  </si>
  <si>
    <t>268,00</t>
  </si>
  <si>
    <t>93009U</t>
  </si>
  <si>
    <t>ELETRODUTO RÍGIDO ROSCÁVEL, PVC, DN 60 MM (2") - FORNECIMENTO E INSTALAÇÃO. AF_12/2015</t>
  </si>
  <si>
    <t>93018U</t>
  </si>
  <si>
    <t>CURVA 90 GRAUS PARA ELETRODUTO, PVC, ROSCÁVEL, DN 50 MM (1 1/2") - FORNECIMENTO E INSTALAÇÃO. AF_12/2015</t>
  </si>
  <si>
    <t>06.01.305</t>
  </si>
  <si>
    <t>Cabos e fios</t>
  </si>
  <si>
    <t>91926U</t>
  </si>
  <si>
    <t>CABO DE COBRE FLEXÍVEL ISOLADO, 2,5 MM², ANTI-CHAMA 450/750 V, PARA CIRCUITOS TERMINAIS - FORNECIMENTO E INSTALAÇÃO. AF_12/2015</t>
  </si>
  <si>
    <t>49.566,00</t>
  </si>
  <si>
    <t>91931U</t>
  </si>
  <si>
    <t>CABO DE COBRE FLEXÍVEL ISOLADO, 6 MM², ANTI-CHAMA 0,6/1,0 KV, PARA CIRCUITOS TERMINAIS - FORNECIMENTO E INSTALAÇÃO. AF_12/2015</t>
  </si>
  <si>
    <t>2.005,00</t>
  </si>
  <si>
    <t>91933U</t>
  </si>
  <si>
    <t>CABO DE COBRE FLEXÍVEL ISOLADO, 10 MM², ANTI-CHAMA 0,6/1,0 KV, PARA CIRCUITOS TERMINAIS - FORNECIMENTO E INSTALAÇÃO. AF_12/2015</t>
  </si>
  <si>
    <t>2.158,00</t>
  </si>
  <si>
    <t>91935U</t>
  </si>
  <si>
    <t>CABO DE COBRE FLEXÍVEL ISOLADO, 16 MM², ANTI-CHAMA 0,6/1,0 KV, PARA CIRCUITOS TERMINAIS - FORNECIMENTO E INSTALAÇÃO. AF_12/2015</t>
  </si>
  <si>
    <t>92984U</t>
  </si>
  <si>
    <t>CABO DE COBRE FLEXÍVEL ISOLADO, 25 MM², ANTI-CHAMA 0,6/1,0 KV, PARA DISTRIBUIÇÃO - FORNECIMENTO E INSTALAÇÃO. AF_12/2015</t>
  </si>
  <si>
    <t>917,00</t>
  </si>
  <si>
    <t>92986U</t>
  </si>
  <si>
    <t>CABO DE COBRE FLEXÍVEL ISOLADO, 35 MM², ANTI-CHAMA 0,6/1,0 KV, PARA DISTRIBUIÇÃO - FORNECIMENTO E INSTALAÇÃO. AF_12/2015</t>
  </si>
  <si>
    <t>06.01.306</t>
  </si>
  <si>
    <t>CAIXA DE PASSAGEM 30X30X40 COM TAMPA E DRENO BRITA</t>
  </si>
  <si>
    <t>92867U</t>
  </si>
  <si>
    <t>CAIXA RETANGULAR 4" X 2" ALTA (2,00 M DO PISO), METÁLICA, INSTALADA EM PAREDE - FORNECIMENTO E INSTALAÇÃO. AF_12/2015</t>
  </si>
  <si>
    <t>92868U</t>
  </si>
  <si>
    <t>CAIXA RETANGULAR 4" X 2" MÉDIA (1,30 M DO PISO), METÁLICA, INSTALADA EM PAREDE - FORNECIMENTO E INSTALAÇÃO. AF_12/2015</t>
  </si>
  <si>
    <t>396,00</t>
  </si>
  <si>
    <t>92869U</t>
  </si>
  <si>
    <t>CAIXA RETANGULAR 4" X 2" BAIXA (0,30 M DO PISO), METÁLICA, INSTALADA EM PAREDE - FORNECIMENTO E INSTALAÇÃO. AF_12/2015</t>
  </si>
  <si>
    <t>142,00</t>
  </si>
  <si>
    <t>92870U</t>
  </si>
  <si>
    <t>CAIXA RETANGULAR 4" X 4" ALTA (2,00 M DO PISO), METÁLICA, INSTALADA EM PAREDE - FORNECIMENTO E INSTALAÇÃO. AF_12/2015</t>
  </si>
  <si>
    <t>86,00</t>
  </si>
  <si>
    <t>92871U</t>
  </si>
  <si>
    <t>CAIXA RETANGULAR 4" X 4" MÉDIA (1,30 M DO PISO), METÁLICA, INSTALADA EM PAREDE - FORNECIMENTO E INSTALAÇÃO. AF_12/2015</t>
  </si>
  <si>
    <t>06.01.309</t>
  </si>
  <si>
    <t>Leitos (eletrocalhas e perfilados)</t>
  </si>
  <si>
    <t>Eletrocalha lisa em chapa de aço galvanizado # 22, tipo "U" com tampa largura 75 mm x altura 50 mm, instalação superior com bucha, inclusive conexões</t>
  </si>
  <si>
    <t>Eletrocalha lisa em chapa de aço galvanizado # 22, tipo "U" com tampa largura 50 mm x altura 50 mm, instalação superior com bucha, inclusive conexões</t>
  </si>
  <si>
    <t>Eletrocalha perfurada em chapa de aço galvanizado # 22, tipo "U" com tampa largura 100 mm x altura 50 mm, instalação superior com bucha, inclusive conexões</t>
  </si>
  <si>
    <t>Eletrocalha lisa em chapa de aço galvanizado # 22, tipo "U", com tampa largura 150 mm x altura 50 mm, instalação superior</t>
  </si>
  <si>
    <t>90460U</t>
  </si>
  <si>
    <t>1.798,00</t>
  </si>
  <si>
    <t>772,00</t>
  </si>
  <si>
    <t>96562U</t>
  </si>
  <si>
    <t>PERFILADO DE SEÇÃO 38X76 MM PARA SUPORTE DE ELETROCALHA LISA OU PERFURADA EM AÇO GALVANIZADO, LARGURA 200 OU 400 MM E ALTURA 50 MM. AF_07/2017</t>
  </si>
  <si>
    <t>253,00</t>
  </si>
  <si>
    <t>06.01.400</t>
  </si>
  <si>
    <t>Iluminação e Tomadas</t>
  </si>
  <si>
    <t>06.01.401</t>
  </si>
  <si>
    <t>Luminárias</t>
  </si>
  <si>
    <t>29,00</t>
  </si>
  <si>
    <t>Luminária de sobrepor retangular, alto alumínio com pintura branca fosca, 1,20m com lâmpada 36w</t>
  </si>
  <si>
    <t>Luminária de embutir cilindrica d=210mm, alumínio com pintura branca fosca, com lâmpada 20w</t>
  </si>
  <si>
    <t>Spot de alumínio com pintura branca, d=150mm, com lâmpada 63w</t>
  </si>
  <si>
    <t>97590U</t>
  </si>
  <si>
    <t>LUMINÁRIA TIPO PLAFON REDONDO COM VIDRO FOSCO, DE SOBREPOR, COM 1 LÂMPADA DE 15 W - FORNECIMENTO E INSTALAÇÃO. AF_11/2017</t>
  </si>
  <si>
    <t>97599U</t>
  </si>
  <si>
    <t>LUMINÁRIA DE EMERGÊNCIA - FORNECIMENTO E INSTALAÇÃO. AF_11/2017</t>
  </si>
  <si>
    <t>135,00</t>
  </si>
  <si>
    <t>06.01.403</t>
  </si>
  <si>
    <t>Interruptores</t>
  </si>
  <si>
    <t>91953U</t>
  </si>
  <si>
    <t>INTERRUPTOR SIMPLES (1 MÓDULO), 10A/250V, INCLUINDO SUPORTE E PLACA - FORNECIMENTO E INSTALAÇÃO. AF_12/2015</t>
  </si>
  <si>
    <t>65,00</t>
  </si>
  <si>
    <t>91955U</t>
  </si>
  <si>
    <t>INTERRUPTOR PARALELO (1 MÓDULO), 10A/250V, INCLUINDO SUPORTE E PLACA - FORNECIMENTO E INSTALAÇÃO. AF_12/2015</t>
  </si>
  <si>
    <t>91959U</t>
  </si>
  <si>
    <t>INTERRUPTOR SIMPLES (2 MÓDULOS), 10A/250V, INCLUINDO SUPORTE E PLACA - FORNECIMENTO E INSTALAÇÃO. AF_12/2015</t>
  </si>
  <si>
    <t>91967U</t>
  </si>
  <si>
    <t>INTERRUPTOR SIMPLES (3 MÓDULOS), 10A/250V, INCLUINDO SUPORTE E PLACA - FORNECIMENTO E INSTALAÇÃO. AF_12/2015</t>
  </si>
  <si>
    <t>26,00</t>
  </si>
  <si>
    <t>06.01.404</t>
  </si>
  <si>
    <t>Tomadas</t>
  </si>
  <si>
    <t>Tomada embutida no piso com caixa de alumínio 15x15cm</t>
  </si>
  <si>
    <t>91992U</t>
  </si>
  <si>
    <t>TOMADA ALTA DE EMBUTIR (1 MÓDULO), 2P+T 10 A, INCLUINDO SUPORTE E PLACA - FORNECIMENTO E INSTALAÇÃO. AF_12/2015</t>
  </si>
  <si>
    <t>181,00</t>
  </si>
  <si>
    <t>92008U</t>
  </si>
  <si>
    <t>TOMADA BAIXA DE EMBUTIR (2 MÓDULOS), 2P+T 10 A, INCLUINDO SUPORTE E PLACA - FORNECIMENTO E INSTALAÇÃO. AF_12/2015</t>
  </si>
  <si>
    <t>286,00</t>
  </si>
  <si>
    <t>92012U</t>
  </si>
  <si>
    <t>TOMADA MÉDIA DE EMBUTIR (3 MÓDULOS), 2P+T 10 A, INCLUINDO SUPORTE E PLACA - FORNECIMENTO E INSTALAÇÃO. AF_12/2015</t>
  </si>
  <si>
    <t>139,00</t>
  </si>
  <si>
    <t>06.01.500</t>
  </si>
  <si>
    <t>Aterramento e Proteção Contra Descargas Atmosféricas</t>
  </si>
  <si>
    <t>INSTALACAO PARA-RAIOS TIPO FRANKLIN EM MASTRO DE 4M</t>
  </si>
  <si>
    <t>CONECTOR DE PARAFUSO FENDIDO EM LIGA DE COBRE COM SEPARADOR DE CABOS PARA CABO 50 MM2 - FORNECIMENTO E INSTALACAO</t>
  </si>
  <si>
    <t>96974U</t>
  </si>
  <si>
    <t>CORDOALHA DE COBRE NU 50 MM², NÃO ENTERRADA, COM ISOLADOR - FORNECIMENTO E INSTALAÇÃO. AF_12/2017</t>
  </si>
  <si>
    <t>555,00</t>
  </si>
  <si>
    <t>06.02.000</t>
  </si>
  <si>
    <t>Telefonia Antena de TV</t>
  </si>
  <si>
    <t>06.02.100</t>
  </si>
  <si>
    <t>Caixas de Entrada e Central Telefônica</t>
  </si>
  <si>
    <t>Distribuidor geral padrão telebrás dimensões 2,00 x 2,00 x 0,12m</t>
  </si>
  <si>
    <t>CAIXA ENTERRADA PARA INSTALACOES TELEFONICAS TIPO R1 0,60X0,35X0,50M EM BLOCOS DE CONCRETO ESTRUTURAL</t>
  </si>
  <si>
    <t>CAIXA ENTERRADA PARA INSTALACOES TELEFONICAS TIPO R3 1,30X1,20X1,20M EM BLOCOS DE CONCRETO ESTRUTURAL</t>
  </si>
  <si>
    <t>TAMPAO FOFO P/ CAIXA R3 PADRAO TELEBRAS COMPLETO - FORNECIMENTO E INSTALACAO</t>
  </si>
  <si>
    <t>TAMPAO FOFO P/ CAIXA R1 PADRAO TELEBRAS COMPLETO - FORNECIMENTO E INSTALACAO</t>
  </si>
  <si>
    <t>06.02.200</t>
  </si>
  <si>
    <t>Caixas Telefônicas e de Distribuição</t>
  </si>
  <si>
    <t>QUADRO DE DISTRIBUICAO PARA TELEFONE N.3, 40X40X12CM EM CHAPA METALICA, DE EMBUTIR, SEM ACESSORIOS, PADRAO TELEBRAS, FORNECIMENTO E INSTALACAO</t>
  </si>
  <si>
    <t>QUADRO DE DISTRIBUICAO PARA TELEFONE N.2, 20X20X12CM EM CHAPA METALICA, DE EMBUTIR, SEM ACESSORIOS, PADRAO TELEBRAS, FORNECIMENTO E INSTALACAO</t>
  </si>
  <si>
    <t>06.02.300</t>
  </si>
  <si>
    <t>Eletrodutos e Eletrocalhas</t>
  </si>
  <si>
    <t>Eletrocalha lisa em chapa de aço galvanizado # 22, tipo "U", com tampa largura 100 mm x altura 50 mm, instalação superior</t>
  </si>
  <si>
    <t>Eletrocalha perfurada em chapa de aço galvanizado # 22, tipo "U", com tampa largura 100 mm x altura 75 mm, instalação superior, inclusive conexões</t>
  </si>
  <si>
    <t>477,00</t>
  </si>
  <si>
    <t>91905U</t>
  </si>
  <si>
    <t>CURVA 90 GRAUS PARA ELETRODUTO, PVC, ROSCÁVEL, DN 32 MM (1"), PARA CIRCUITOS TERMINAIS, INSTALADA EM LAJE - FORNECIMENTO E INSTALAÇÃO. AF_12/2015</t>
  </si>
  <si>
    <t>126,00</t>
  </si>
  <si>
    <t>91908U</t>
  </si>
  <si>
    <t>CURVA 90 GRAUS PARA ELETRODUTO, PVC, ROSCÁVEL, DN 40 MM (1 1/4"), PARA CIRCUITOS TERMINAIS, INSTALADA EM LAJE - FORNECIMENTO E INSTALAÇÃO. AF_12/2015</t>
  </si>
  <si>
    <t>82,00</t>
  </si>
  <si>
    <t>93010U</t>
  </si>
  <si>
    <t>ELETRODUTO RÍGIDO ROSCÁVEL, PVC, DN 75 MM (2 1/2") - FORNECIMENTO E INSTALAÇÃO. AF_12/2015</t>
  </si>
  <si>
    <t>94,00</t>
  </si>
  <si>
    <t>93022U</t>
  </si>
  <si>
    <t>CURVA 90 GRAUS PARA ELETRODUTO, PVC, ROSCÁVEL, DN 75 MM (2 1/2") - FORNECIMENTO E INSTALAÇÃO. AF_12/2015</t>
  </si>
  <si>
    <t>94789U</t>
  </si>
  <si>
    <t>ADAPTADOR COM FLANGES LIVRES, PVC, SOLDÁVEL LONGO, DN 75 MM X 2 1/2 , INSTALADO EM RESERVAÇÃO DE ÁGUA DE EDIFICAÇÃO QUE POSSUA RESERVATÓRIO DE FIBRA/FIBROCIMENTO FORNECIMENTO E INSTALAÇÃO. AF_06/2016</t>
  </si>
  <si>
    <t>06.02.400</t>
  </si>
  <si>
    <t>Cabo telefônico CTP-APL Ø do condutor 0,50 mm, com 100 pares</t>
  </si>
  <si>
    <t>116,00</t>
  </si>
  <si>
    <t>107,00</t>
  </si>
  <si>
    <t>98278U</t>
  </si>
  <si>
    <t>CABO TELEFÔNICO CI-50 30 PARES INSTALADO EM PRUMADA - FORNECIMENTO E INSTALAÇÃO. AF_03/2018</t>
  </si>
  <si>
    <t>138,00</t>
  </si>
  <si>
    <t>98297U</t>
  </si>
  <si>
    <t>CABO ELETRÔNICO CATEGORIA 6, INSTALADO EM EDIFICAÇÃO INSTITUCIONAL - FORNECIMENTO E INSTALAÇÃO. AF_03/2018</t>
  </si>
  <si>
    <t>2.224,00</t>
  </si>
  <si>
    <t>06.03.000</t>
  </si>
  <si>
    <t>Detecção e Alarme de Incêndio</t>
  </si>
  <si>
    <t>06.03.100</t>
  </si>
  <si>
    <t>Painéis de Supervisão</t>
  </si>
  <si>
    <t>Central de alarme de incêndio para 24 pontos</t>
  </si>
  <si>
    <t>06.03.200</t>
  </si>
  <si>
    <t>Equipamentos de Detecção</t>
  </si>
  <si>
    <t>10446/ORSE</t>
  </si>
  <si>
    <t>Avisador sonoro tipo sirene para incêndio</t>
  </si>
  <si>
    <t>12016/ORSE</t>
  </si>
  <si>
    <t>Acionador manual endereçavel</t>
  </si>
  <si>
    <t>12017/ORSE</t>
  </si>
  <si>
    <t>Detector de temperatura termovelocímetrico endereçável</t>
  </si>
  <si>
    <t>12018/ORSE</t>
  </si>
  <si>
    <t>Detector de fumaça óptico endereçável</t>
  </si>
  <si>
    <t>06.03.300</t>
  </si>
  <si>
    <t>75,00</t>
  </si>
  <si>
    <t>95749U</t>
  </si>
  <si>
    <t>ELETRODUTO DE AÇO GALVANIZADO, CLASSE LEVE, DN 20 MM (3/4??), APARENTE, INSTALADO EM PAREDE - FORNECIMENTO E INSTALAÇÃO. AF_11/2016_P</t>
  </si>
  <si>
    <t>954,00</t>
  </si>
  <si>
    <t>95750U</t>
  </si>
  <si>
    <t>ELETRODUTO DE AÇO GALVANIZADO, CLASSE LEVE, DN 25 MM (1??), APARENTE, INSTALADO EM PAREDE - FORNECIMENTO E INSTALAÇÃO. AF_11/2016_P</t>
  </si>
  <si>
    <t>405,00</t>
  </si>
  <si>
    <t>95751U</t>
  </si>
  <si>
    <t>ELETRODUTO DE AÇO GALVANIZADO, CLASSE SEMI PESADO, DN 32 MM (1 1/4??), APARENTE, INSTALADO EM PAREDE - FORNECIMENTO E INSTALAÇÃO. AF_11/2016_P</t>
  </si>
  <si>
    <t>74,00</t>
  </si>
  <si>
    <t>95795U</t>
  </si>
  <si>
    <t>CONDULETE DE ALUMÍNIO, TIPO T, PARA ELETRODUTO DE AÇO GALVANIZADO DN 20 MM (3/4), APARENTE - FORNECIMENTO E INSTALAÇÃO. AF_11/2016_P</t>
  </si>
  <si>
    <t>140,00</t>
  </si>
  <si>
    <t>95796U</t>
  </si>
  <si>
    <t>CONDULETE DE ALUMÍNIO, TIPO T, PARA ELETRODUTO DE AÇO GALVANIZADO DN 25 MM (1), APARENTE - FORNECIMENTO E INSTALAÇÃO. AF_11/2016_P</t>
  </si>
  <si>
    <t>95797U</t>
  </si>
  <si>
    <t>CONDULETE DE ALUMÍNIO, TIPO T, PARA ELETRODUTO DE AÇO GALVANIZADO DN 32 MM (1 1/4), APARENTE - FORNECIMENTO E INSTALAÇÃO. AF_11/2016_P</t>
  </si>
  <si>
    <t>06.03.400</t>
  </si>
  <si>
    <t>Fio de cobre trançado 2x1,0mm2</t>
  </si>
  <si>
    <t>564,00</t>
  </si>
  <si>
    <t>Fio de cobre trançado 2x1,5mm2</t>
  </si>
  <si>
    <t>920,00</t>
  </si>
  <si>
    <t>06.03.600</t>
  </si>
  <si>
    <t>Sinalização de Emergência</t>
  </si>
  <si>
    <t>Luminária fluorescente completa para emergência de 15 W</t>
  </si>
  <si>
    <t>Placa de sinalizacao de seguranca contra incendio, fotoluminescente, quadrada, *20 x 20* cm, em pvc *2* mm anti-chamas (simbolos, cores e pictogramas conforme nbr 13434)</t>
  </si>
  <si>
    <t>Placa de sinalizacao de seguranca contra incendio, fotoluminescente, retangular, *26,8 x 26,8* cm, em pvc *2* mm anti-chamas (simbolos, cores e pictogramas conforme nbr 13434)</t>
  </si>
  <si>
    <t>Placa de sinalizacao de seguranca contra incendio, fotoluminescente, retangular, *38 x 19* cm, em pvc *2* mm anti-chamas (simbolos, cores e pictogramas conforme nbr 13434)</t>
  </si>
  <si>
    <t>134,00</t>
  </si>
  <si>
    <t>Placa de sinalizacao de seguranca contra incendio, fotoluminescente, retangular, *50 x 25* cm, em pvc *2* mm anti-chamas (simbolos, cores e pictogramas conforme nbr 13434)</t>
  </si>
  <si>
    <t>63,25</t>
  </si>
  <si>
    <t>07.00.000</t>
  </si>
  <si>
    <t>INSTALAÇÕES MECÂNICAS E DE UTILIDADES</t>
  </si>
  <si>
    <t>07.07.000</t>
  </si>
  <si>
    <t>Gás Combustível</t>
  </si>
  <si>
    <t>Central de gás combustível com 6 cilindros B45</t>
  </si>
  <si>
    <t>Tubulação de gás combustível DN=1¨ envelopada em concreto</t>
  </si>
  <si>
    <t>08.00.000</t>
  </si>
  <si>
    <t>INSTALAÇÕES DE PREVENÇÃO E COMBATE A INCÊNDIO</t>
  </si>
  <si>
    <t>08.01.000</t>
  </si>
  <si>
    <t>Prevenção e Combate a Incêndio</t>
  </si>
  <si>
    <t>08.01.200</t>
  </si>
  <si>
    <t>Tubulações de Aço Carbono</t>
  </si>
  <si>
    <t>Tubo de aço galvanizado com costura inclusive conexões Ø 100 mm - 4"</t>
  </si>
  <si>
    <t>Tubo de aço galvanizado com costura inclusive conexões Ø 150 mm - 6"</t>
  </si>
  <si>
    <t>Tê 45° de ferro galvanizado Ø 100 mm - 4"</t>
  </si>
  <si>
    <t>96,00</t>
  </si>
  <si>
    <t>Tê 90° de ferro galvanizado Ø 150 mm - 6"</t>
  </si>
  <si>
    <t>COTOVELO DE AÇO GALVANIZADO 4" - FORNECIMENTO E INSTALAÇÃO</t>
  </si>
  <si>
    <t>COTOVELO DE AÇO GALVANIZADO 6" - FORNECIMENTO E INSTALAÇÃO</t>
  </si>
  <si>
    <t>321,00</t>
  </si>
  <si>
    <t>92382U</t>
  </si>
  <si>
    <t>JOELHO 90 GRAUS, EM FERRO GALVANIZADO, DN 25 (1"), CONEXÃO ROSQUEADA, INSTALADO EM REDE DE ALIMENTAÇÃO PARA HIDRANTE - FORNECIMENTO E INSTALAÇÃO. AF_12/2015</t>
  </si>
  <si>
    <t>596,00</t>
  </si>
  <si>
    <t>TUBO DE AÇO GALVANIZADO COM COSTURA, CLASSE MÉDIA, CONEXÃO ROSQUEADA, DN 25 (1"), INSTALADO EM REDE DE ALIMENTAÇÃO PARA SPRINKLER - FORNECIMENTO E INSTALAÇÃO. AF_12/2015</t>
  </si>
  <si>
    <t>1.150,00</t>
  </si>
  <si>
    <t>92652U</t>
  </si>
  <si>
    <t>TUBO DE AÇO GALVANIZADO COM COSTURA, CLASSE MÉDIA, CONEXÃO ROSQUEADA, DN 32 (1 1/4"), INSTALADO EM REDE DE ALIMENTAÇÃO PARA SPRINKLER - FORNECIMENTO E INSTALAÇÃO. AF_12/2015</t>
  </si>
  <si>
    <t>92653U</t>
  </si>
  <si>
    <t>TUBO DE AÇO GALVANIZADO COM COSTURA, CLASSE MÉDIA, CONEXÃO ROSQUEADA, DN 40 (1 1/2"), INSTALADO EM REDE DE ALIMENTAÇÃO PARA SPRINKLER - FORNECIMENTO E INSTALAÇÃO. AF_12/2015</t>
  </si>
  <si>
    <t>92654U</t>
  </si>
  <si>
    <t>TUBO DE AÇO GALVANIZADO COM COSTURA, CLASSE MÉDIA, CONEXÃO ROSQUEADA, DN 50 (2"), INSTALADO EM REDE DE ALIMENTAÇÃO PARA SPRINKLER - FORNECIMENTO E INSTALAÇÃO. AF_12/2015</t>
  </si>
  <si>
    <t>173,00</t>
  </si>
  <si>
    <t>92655U</t>
  </si>
  <si>
    <t>TUBO DE AÇO GALVANIZADO COM COSTURA, CLASSE MÉDIA, CONEXÃO ROSQUEADA, DN 65 (2 1/2"), INSTALADO EM REDE DE ALIMENTAÇÃO PARA SPRINKLER - FORNECIMENTO E INSTALAÇÃO. AF_12/2015</t>
  </si>
  <si>
    <t>240,00</t>
  </si>
  <si>
    <t>92656U</t>
  </si>
  <si>
    <t>TUBO DE AÇO GALVANIZADO COM COSTURA, CLASSE MÉDIA, CONEXÃO ROSQUEADA, DN 80 (3"), INSTALADO EM REDE DE ALIMENTAÇÃO PARA SPRINKLER - FORNECIMENTO E INSTALAÇÃO. AF_12/2015</t>
  </si>
  <si>
    <t>58,00</t>
  </si>
  <si>
    <t>92681U</t>
  </si>
  <si>
    <t>TÊ, EM FERRO GALVANIZADO, CONEXÃO ROSQUEADA, DN 25 (1"), INSTALADO EM REDE DE ALIMENTAÇÃO PARA SPRINKLER - FORNECIMENTO E INSTALAÇÃO. AF_12/2015</t>
  </si>
  <si>
    <t>171,00</t>
  </si>
  <si>
    <t>92685U</t>
  </si>
  <si>
    <t>TÊ, EM FERRO GALVANIZADO, CONEXÃO ROSQUEADA, DN 65 (2 1/2"), INSTALADO EM REDE DE ALIMENTAÇÃO PARA SPRINKLER - FORNECIMENTO E INSTALAÇÃO. AF_12/2015</t>
  </si>
  <si>
    <t>94473U</t>
  </si>
  <si>
    <t>COTOVELO 90 GRAUS, EM FERRO GALVANIZADO, CONEXÃO ROSQUEADA, DN 65 (2 1/2?), INSTALADO EM RESERVAÇÃO DE ÁGUA DE EDIFICAÇÃO QUE POSSUA RESERVATÓRIO DE FIBRA/FIBROCIMENTO ? FORNECIMENTO E INSTALAÇÃO. AF_06/2016</t>
  </si>
  <si>
    <t>40,00</t>
  </si>
  <si>
    <t>08.01.500</t>
  </si>
  <si>
    <t>08.01.510</t>
  </si>
  <si>
    <t>Válvulas de retenção</t>
  </si>
  <si>
    <t>Válvula de retenção horizontal ou vertical Ø 100 mm - 4"</t>
  </si>
  <si>
    <t>Válvula de retenção vertical Ø 150 mm - 6"</t>
  </si>
  <si>
    <t>08.01.511</t>
  </si>
  <si>
    <t>Hidrantes de passeio</t>
  </si>
  <si>
    <t>HIDRANTE SUBTERRANEO FERRO FUNDIDO C/ CURVA LONGA E CAIXA DN=75MM</t>
  </si>
  <si>
    <t>08.01.516</t>
  </si>
  <si>
    <t>Abrigo para mangueira</t>
  </si>
  <si>
    <t>96765U</t>
  </si>
  <si>
    <t>ABRIGO PARA HIDRANTE, 90X60X17CM, COM REGISTRO GLOBO ANGULAR 45 GRAUS 2 1/2", ADAPTADOR STORZ 2 1/2", MANGUEIRA DE INCÊNDIO 20M, REDUÇÃO 2 1/2 X 1 1/2" E ESGUICHO EM LATÃO 1 1/2" - FORNECIMENTO E INSTALAÇÃO. AF_08/2017</t>
  </si>
  <si>
    <t>08.01.517</t>
  </si>
  <si>
    <t>Extintores</t>
  </si>
  <si>
    <t>EXTINTOR INCENDIO TP PO QUIMICO 6KG - FORNECIMENTO E INSTALACAO</t>
  </si>
  <si>
    <t>08.01.519</t>
  </si>
  <si>
    <t>Bombas e Acessórios</t>
  </si>
  <si>
    <t>Bomba centrífuga trifásica 75 mca, 30 CV</t>
  </si>
  <si>
    <t>Bomba centrífuga, 71,5 mca, 30 CV, motor a diesel</t>
  </si>
  <si>
    <t>Bomba jóckey, 80mca, 3 CV, 1,2m3/h trifásica</t>
  </si>
  <si>
    <t>Pressostato 0 a 10 kgf/cm2</t>
  </si>
  <si>
    <t>Tanque de pressão capacidade 30 lt (p/incendio)</t>
  </si>
  <si>
    <t>Conjunto motor-bomba centrífuga de 7,5 hp</t>
  </si>
  <si>
    <t>MANOMETRO 0 A 200 PSI (0 A 14 KGF/CM2), D = 50MM - FORNECIMENTO E COLOCACAO</t>
  </si>
  <si>
    <t>08.01.600</t>
  </si>
  <si>
    <t>Aspersores</t>
  </si>
  <si>
    <t>95696U</t>
  </si>
  <si>
    <t>SPRINKLER TIPO PENDENTE, 68 °C, UNIÃO POR ROSCA DN 15 (1/2") - FORNECIMENTO E INSTALAÇÃO. AF_12/2015</t>
  </si>
  <si>
    <t>553,00</t>
  </si>
  <si>
    <t>09.00.000</t>
  </si>
  <si>
    <t>SERVIÇOS COMPLEMENTARES</t>
  </si>
  <si>
    <t>Consumos</t>
  </si>
  <si>
    <t>Consumo de Energia Elétrica</t>
  </si>
  <si>
    <t>MÊS</t>
  </si>
  <si>
    <t>Consumo de Água</t>
  </si>
  <si>
    <t>09.02.000</t>
  </si>
  <si>
    <t>Limpeza de Obras</t>
  </si>
  <si>
    <t>Limpeza geral da edificação</t>
  </si>
  <si>
    <t>09.03.000</t>
  </si>
  <si>
    <t>Ligações Definitivas</t>
  </si>
  <si>
    <t>Reprografia</t>
  </si>
  <si>
    <t>09.05.000.1</t>
  </si>
  <si>
    <t>Plotagem de projetos</t>
  </si>
  <si>
    <t>600,00</t>
  </si>
  <si>
    <t>10.00.000</t>
  </si>
  <si>
    <t>SERVIÇOS AUXILIARES E ADMINISTRATIVOS</t>
  </si>
  <si>
    <t>10.01.000</t>
  </si>
  <si>
    <t>Pessoal</t>
  </si>
  <si>
    <t>100309U</t>
  </si>
  <si>
    <t>TÉCNICO EM SEGURAÇA DO TRABALHO COM ENCARGOS COMPLEMENTARES</t>
  </si>
  <si>
    <t>H</t>
  </si>
  <si>
    <t>100316U</t>
  </si>
  <si>
    <t>AUXILIAR DE ALMOXARIFE COM ENCARGOS COMPLEMENTARES</t>
  </si>
  <si>
    <t>88255U</t>
  </si>
  <si>
    <t>AUXILIAR TÉCNICO DE ENGENHARIA COM ENCARGOS COMPLEMENTARES</t>
  </si>
  <si>
    <t>90766U</t>
  </si>
  <si>
    <t>ALMOXARIFE COM ENCARGOS COMPLEMENTARES</t>
  </si>
  <si>
    <t>90767U</t>
  </si>
  <si>
    <t>APONTADOR OU APROPRIADOR COM ENCARGOS COMPLEMENTARES</t>
  </si>
  <si>
    <t>90779U</t>
  </si>
  <si>
    <t>ENGENHEIRO CIVIL DE OBRA SENIOR COM ENCARGOS COMPLEMENTARES</t>
  </si>
  <si>
    <t>90780U</t>
  </si>
  <si>
    <t>MESTRE DE OBRAS COM ENCARGOS COMPLEMENTARES</t>
  </si>
  <si>
    <t>91677U</t>
  </si>
  <si>
    <t>ENGENHEIRO ELETRICISTA COM ENCARGOS COMPLEMENTARES</t>
  </si>
  <si>
    <t>93566U</t>
  </si>
  <si>
    <t>AUXILIAR DE ESCRITORIO COM ENCARGOS COMPLEMENTARES</t>
  </si>
  <si>
    <t>93567U</t>
  </si>
  <si>
    <t>ENGENHEIRO CIVIL DE OBRA PLENO COM ENCARGOS COMPLEMENTARES</t>
  </si>
  <si>
    <t>93572U</t>
  </si>
  <si>
    <t>ENCARREGADO GERAL DE OBRAS COM ENCARGOS COMPLEMENTARES</t>
  </si>
  <si>
    <t>10.04.000</t>
  </si>
  <si>
    <t>Transportes</t>
  </si>
  <si>
    <t>TRANSPORTE COMERCIAL COM CAMINHAO CARROCERIA 9 T, RODOVIA PAVIMENTADA</t>
  </si>
  <si>
    <t>TXKM</t>
  </si>
  <si>
    <t>15.120,00</t>
  </si>
  <si>
    <t xml:space="preserve"> </t>
  </si>
  <si>
    <t>TOTAL DO ITEM 01.00.000</t>
  </si>
  <si>
    <t>TOTAL DO ITEM 02.00.000</t>
  </si>
  <si>
    <t>CUSTO DO ORÇAMENTO</t>
  </si>
  <si>
    <t>%</t>
  </si>
  <si>
    <t>TOTAL GERAL</t>
  </si>
  <si>
    <t>Observações:</t>
  </si>
  <si>
    <r>
      <t xml:space="preserve">1. Planilha de acordo com o Manual de Obras Públicas-Edificações, Práticas da </t>
    </r>
    <r>
      <rPr>
        <b/>
        <sz val="10"/>
        <color indexed="8"/>
        <rFont val="Arial"/>
        <family val="2"/>
      </rPr>
      <t>SEAP</t>
    </r>
  </si>
  <si>
    <t xml:space="preserve">ESTRUTURA METALICA EM ACO ESTRUTURAL </t>
  </si>
  <si>
    <t>TOTAL DO ITEM 03.01.400</t>
  </si>
  <si>
    <t>TOTAL DO ITEM 03.01.500</t>
  </si>
  <si>
    <t>TOTAL DO ITEM 03.02.000</t>
  </si>
  <si>
    <t>TOTAL DO ITEM 03.03.000</t>
  </si>
  <si>
    <t>TOTAL DO ITEM 04.01.100</t>
  </si>
  <si>
    <t>TOTAL DO ITEM 04.01.200</t>
  </si>
  <si>
    <t>TOTAL DO ITEM 04.01.240</t>
  </si>
  <si>
    <t>TOTAL DO ITEM 04.01.300</t>
  </si>
  <si>
    <t>TOTAL DO ITEM 04.01.400</t>
  </si>
  <si>
    <t>TOTAL DO ITEM 04.01.500</t>
  </si>
  <si>
    <t>TOTAL DO ITEM 04.01.530</t>
  </si>
  <si>
    <t>TOTAL DO ITEM 04.01.550</t>
  </si>
  <si>
    <t>TOTAL DO ITEM 04.01.560</t>
  </si>
  <si>
    <t>TOTAL DO ITEM 04.01.580</t>
  </si>
  <si>
    <t>TOTAL DO ITEM 04.01.600</t>
  </si>
  <si>
    <t>TOTAL DO ITEM 04.01.700</t>
  </si>
  <si>
    <t>TOTAL DO ITEM 04.01.800</t>
  </si>
  <si>
    <t>TOTAL DO ITEM 04.02.000</t>
  </si>
  <si>
    <t>TOTAL DO ITEM 04.04.000</t>
  </si>
  <si>
    <t>TOTAL DO ITEM 04.05.000</t>
  </si>
  <si>
    <t>TOTAL DO ITEM 04.06.000</t>
  </si>
  <si>
    <t>TOTAL DO ITEM 05.01.000</t>
  </si>
  <si>
    <t>TOTAL DO ITEM 05.01.500</t>
  </si>
  <si>
    <t>TOTAL DO ITEM 05.03.000</t>
  </si>
  <si>
    <t>TOTAL DO ITEM 05.04.000</t>
  </si>
  <si>
    <t>TOTAL DO ITEM 06.01.000</t>
  </si>
  <si>
    <t>TOTAL DO ITEM 06.01.400</t>
  </si>
  <si>
    <t>TOTAL DO ITEM 06.01.500</t>
  </si>
  <si>
    <t>TOTAL DO ITEM 06.02.000</t>
  </si>
  <si>
    <t>TOTAL DO ITEM 06.03.000</t>
  </si>
  <si>
    <t>TOTAL DO ITEM 07.07.000</t>
  </si>
  <si>
    <t>TOTAL DO ITEM 08.00.000</t>
  </si>
  <si>
    <t>TOTAL DO ITEM 09.00.000</t>
  </si>
  <si>
    <t>Item</t>
  </si>
  <si>
    <t>Discriminação</t>
  </si>
  <si>
    <t>ISS</t>
  </si>
  <si>
    <t>PIS</t>
  </si>
  <si>
    <t>Cofins</t>
  </si>
  <si>
    <t>Fonte:</t>
  </si>
  <si>
    <t>Acórdãos n° 2622/2013 - TCU - PLENÁRIO</t>
  </si>
  <si>
    <t xml:space="preserve"> ITEM </t>
  </si>
  <si>
    <t xml:space="preserve"> DESCRIÇÃO DOS SERVIÇOS</t>
  </si>
  <si>
    <t xml:space="preserve"> </t>
    <phoneticPr fontId="0" type="noConversion"/>
  </si>
  <si>
    <t>Blocos e Cintas de Fundações</t>
  </si>
  <si>
    <t>03.02.000</t>
    <phoneticPr fontId="0" type="noConversion"/>
  </si>
  <si>
    <t>Estruturas de concreto</t>
  </si>
  <si>
    <t>Revestimentos de Forros</t>
  </si>
  <si>
    <t>Pinturas</t>
  </si>
  <si>
    <t>Mantas Termo-acústicas</t>
  </si>
  <si>
    <t>Acabamentos e arremates</t>
  </si>
  <si>
    <t>Equipamentos e acessórios</t>
  </si>
  <si>
    <t>Comunicação visual</t>
  </si>
  <si>
    <t>Aparelhos e acessórios sanitários</t>
  </si>
  <si>
    <t>CUSTO DIRETO TOTAL</t>
  </si>
  <si>
    <t xml:space="preserve">TOTAL DO ORÇAMENTO </t>
  </si>
  <si>
    <r>
      <t xml:space="preserve">1. Planilha de acordo com o Manual de Obras Públicas-Edificações, Práticas da </t>
    </r>
    <r>
      <rPr>
        <b/>
        <sz val="9"/>
        <color indexed="8"/>
        <rFont val="Arial"/>
        <family val="2"/>
      </rPr>
      <t>SEAP</t>
    </r>
  </si>
  <si>
    <t>MESES</t>
  </si>
  <si>
    <t>-</t>
  </si>
  <si>
    <t>87267U</t>
  </si>
  <si>
    <t xml:space="preserve">REVESTIMENTO CERÂMICO PARA PAREDES INTERNAS COM PLACAS TIPO ESMALTADA EXTRA DE DIMENSÕES 20X20 CM </t>
  </si>
  <si>
    <t>94213U</t>
  </si>
  <si>
    <t>TELHAMENTO COM TELHA DE AÇO/ALUMÍNIO E = 0,5 MM, COM ATÉ 2 ÁGUAS, INCLUSO IÇAMENTO. AF_07/2019</t>
  </si>
  <si>
    <t>FUNDO PREPARADOR PRIMER SINTÉTICO PARA ESTRUTURA METÁLICA, ESPESSURA 25 MICRA</t>
  </si>
  <si>
    <t>COEF.</t>
  </si>
  <si>
    <t>Ajudante</t>
  </si>
  <si>
    <t>M.O.</t>
  </si>
  <si>
    <t>Topógrafo</t>
  </si>
  <si>
    <t>Auxiliar de topógrafo</t>
  </si>
  <si>
    <t>PREÇO TOTAL (unit.):</t>
  </si>
  <si>
    <t>0,530000000</t>
  </si>
  <si>
    <t>95241U</t>
  </si>
  <si>
    <t>0,006000000</t>
  </si>
  <si>
    <t>0,026900000</t>
  </si>
  <si>
    <t>88262U</t>
  </si>
  <si>
    <t>CARPINTEIRO DE FORMAS COM ENCARGOS COMPLEMENTARES</t>
  </si>
  <si>
    <t>0,026200000</t>
  </si>
  <si>
    <t>0,040000000</t>
  </si>
  <si>
    <t>0,010000000</t>
  </si>
  <si>
    <t>0,104400000</t>
  </si>
  <si>
    <t>Ajudante de encanador</t>
  </si>
  <si>
    <t>Carpinteiro</t>
  </si>
  <si>
    <t>Encanador</t>
  </si>
  <si>
    <t>Pedreiro</t>
  </si>
  <si>
    <t>Servente</t>
  </si>
  <si>
    <t>Argamassa pré-fabricada de cimento colante para assentamento de peças cerâmicas</t>
  </si>
  <si>
    <t>Pontalete de cedro 3a 7,5 x 7,5 cm</t>
  </si>
  <si>
    <t>Tábua de cedrinho 2,3 x 30 cm</t>
  </si>
  <si>
    <t>Reservatório para água em polietileno, 1.000 litros com tampa</t>
  </si>
  <si>
    <t>Tubo PVC soldável Ø 25 mm</t>
  </si>
  <si>
    <t>Adesivo para PVC</t>
  </si>
  <si>
    <t>0,050000000</t>
  </si>
  <si>
    <t>Fita de vedação para tubos e conexões roscáveis, rolo de 50 m x 18 mm</t>
  </si>
  <si>
    <t>Tubo PVC PBV para esgoto Ø 100 mm</t>
  </si>
  <si>
    <t>Ajudante de eletricista</t>
  </si>
  <si>
    <t>Eletricista</t>
  </si>
  <si>
    <t>Fio rígido 6 mm² isolamento em PVC, 750 V</t>
  </si>
  <si>
    <t>16.015.000014.MAT</t>
  </si>
  <si>
    <t>Caixa de entrada de energia modelo K padrão ELETROPAULO em chapa de aço para 2 medidores 50 x 60 x 27 cm</t>
  </si>
  <si>
    <t>09.004.000002.MAT</t>
  </si>
  <si>
    <t>Asfalto para vedação de encanamentos</t>
  </si>
  <si>
    <t>Anel de borracha para tubo PVC esgoto Ø 150 mm</t>
  </si>
  <si>
    <t>Pasta lubrificante para tubo PVC</t>
  </si>
  <si>
    <t>0,043200000</t>
  </si>
  <si>
    <t>Tubo PVC PBV para esgoto Ø 150 mm</t>
  </si>
  <si>
    <t>Estopa branca de primeira qualidade</t>
  </si>
  <si>
    <t>0,950000000</t>
  </si>
  <si>
    <t>Compactador de percussão tipo sapo, gasolina 4 hp - 3 kW, 1.400 kgf, peso 73 kg</t>
  </si>
  <si>
    <t>SER.CH</t>
  </si>
  <si>
    <t>H PROD</t>
  </si>
  <si>
    <t>0,250000000</t>
  </si>
  <si>
    <t>Retroescavadeira sobre pneus 75 hp - 56 kW, caçamba dianteira, 0,76 m³, retro, 0,22 m³, profundidade de escavação de 4,3 m</t>
  </si>
  <si>
    <t>0,080000000</t>
  </si>
  <si>
    <t>0,060000000</t>
  </si>
  <si>
    <t>33.161.000010.EQH</t>
  </si>
  <si>
    <t>Caminhão carroceria de madeira, 4,5 m, 4 t 154 hp - 115 kW, 4 x 2</t>
  </si>
  <si>
    <t>0,100000000</t>
  </si>
  <si>
    <t>0,500000000</t>
  </si>
  <si>
    <t>14.001.000877.MAT</t>
  </si>
  <si>
    <t>Tubo de polietileno de alta densidade PE100 Ø externo 63 mm, classe de pressão 10 kgf/cm²</t>
  </si>
  <si>
    <t>32.105.000120.SER</t>
  </si>
  <si>
    <t>Cavalete com tubo de aço galvanizado 20 mm - 3/4"</t>
  </si>
  <si>
    <t>0,110000000</t>
  </si>
  <si>
    <t>88316U</t>
  </si>
  <si>
    <t>SERVENTE COM ENCARGOS COMPLEMENTARES</t>
  </si>
  <si>
    <t>94962U</t>
  </si>
  <si>
    <t>CONCRETO MAGRO PARA LASTRO, TRAÇO 1:4,5:4,5 (CIMENTO/ AREIA MÉDIA/ BRITA 1) - PREPARO MECÂNICO COM BETONEIRA 400 L. AF_07/2016</t>
  </si>
  <si>
    <t>88239U</t>
  </si>
  <si>
    <t>AJUDANTE DE CARPINTEIRO COM ENCARGOS COMPLEMENTARES</t>
  </si>
  <si>
    <t>CHP</t>
  </si>
  <si>
    <t>CHI</t>
  </si>
  <si>
    <t>L</t>
  </si>
  <si>
    <t>5932U</t>
  </si>
  <si>
    <t>MOTONIVELADORA POTÊNCIA BÁSICA LÍQUIDA (PRIMEIRA MARCHA) 125 HP, PESO BRUTO 13032 KG, LARGURA DA LÂMINA DE 3,7 M - CHP DIURNO. AF_06/2014</t>
  </si>
  <si>
    <t>0,003000000</t>
  </si>
  <si>
    <t>5847U</t>
  </si>
  <si>
    <t>TRATOR DE ESTEIRAS, POTÊNCIA 170 HP, PESO OPERACIONAL 19 T, CAÇAMBA 5,2 M3 - CHP DIURNO. AF_06/2014</t>
  </si>
  <si>
    <t>0,030400000</t>
  </si>
  <si>
    <t>0,022000000</t>
  </si>
  <si>
    <t>01.002.000116.SET</t>
  </si>
  <si>
    <t>SER.MO</t>
  </si>
  <si>
    <t>5811U</t>
  </si>
  <si>
    <t>CAMINHÃO BASCULANTE 6 M3, PESO BRUTO TOTAL 16.000 KG, CARGA ÚTIL MÁXIMA 13.071 KG, DISTÂNCIA ENTRE EIXOS 4,80 M, POTÊNCIA 230 CV INCLUSIVE CAÇAMBA METÁLICA - CHP DIURNO. AF_06/2014</t>
  </si>
  <si>
    <t>5940U</t>
  </si>
  <si>
    <t>PÁ CARREGADEIRA SOBRE RODAS, POTÊNCIA LÍQUIDA 128 HP, CAPACIDADE DA CAÇAMBA 1,7 A 2,8 M3, PESO OPERACIONAL 11632 KG - CHP DIURNO. AF_06/2014</t>
  </si>
  <si>
    <t>0,008000000</t>
  </si>
  <si>
    <t>CONCRETO USINADO BOMBEAVEL, CLASSE DE RESISTENCIA C20, COM BRITA 0, SLUMP = 220 +/- 20 MM, INCLUI SERVICO DE BOMBEAMENTO (NBR 8953)</t>
  </si>
  <si>
    <t>0,088300000</t>
  </si>
  <si>
    <t>0,127800000</t>
  </si>
  <si>
    <t>90674U</t>
  </si>
  <si>
    <t>PERFURATRIZ COM TORRE METÁLICA PARA EXECUÇÃO DE ESTACA HÉLICE CONTÍNUA, PROFUNDIDADE MÁXIMA DE 30 M, DIÂMETRO MÁXIMO DE 800 MM, POTÊNCIA INSTALADA DE 268 HP, MESA ROTATIVA COM TORQUE MÁXIMO DE 170 KNM - CHP DIURNO. AF_06/2015</t>
  </si>
  <si>
    <t>0,021100000</t>
  </si>
  <si>
    <t>90675U</t>
  </si>
  <si>
    <t>PERFURATRIZ COM TORRE METÁLICA PARA EXECUÇÃO DE ESTACA HÉLICE CONTÍNUA, PROFUNDIDADE MÁXIMA DE 30 M, DIÂMETRO MÁXIMO DE 800 MM, POTÊNCIA INSTALADA DE 268 HP, MESA ROTATIVA COM TORQUE MÁXIMO DE 170 KNM - CHI DIURNO. AF_06/2015</t>
  </si>
  <si>
    <t>0,021500000</t>
  </si>
  <si>
    <t>95967U</t>
  </si>
  <si>
    <t>SERVIÇOS TÉCNICOS ESPECIALIZADOS PARA ACOMPANHAMENTO DE EXECUÇÃO DE FUNDAÇÕES PROFUNDAS E ESTRUTURAS DE CONTENÇÃO</t>
  </si>
  <si>
    <t>0,042600000</t>
  </si>
  <si>
    <t>97913U</t>
  </si>
  <si>
    <t>TRANSPORTE COM CAMINHÃO BASCULANTE DE 6 M3, EM VIA URBANA EM REVESTIMENTO PRIMÁRIO (UNIDADE: M3XKM). AF_01/2018</t>
  </si>
  <si>
    <t>0,026500000</t>
  </si>
  <si>
    <t>0,163300000</t>
  </si>
  <si>
    <t>0,126000000</t>
  </si>
  <si>
    <t>0,021900000</t>
  </si>
  <si>
    <t>0,048100000</t>
  </si>
  <si>
    <t>0,073600000</t>
  </si>
  <si>
    <t>0,267400000</t>
  </si>
  <si>
    <t>0,245300000</t>
  </si>
  <si>
    <t>0,144300000</t>
  </si>
  <si>
    <t>0,020000000</t>
  </si>
  <si>
    <t>88245U</t>
  </si>
  <si>
    <t>ARMADOR COM ENCARGOS COMPLEMENTARES</t>
  </si>
  <si>
    <t>0,070000000</t>
  </si>
  <si>
    <t>0,044000000</t>
  </si>
  <si>
    <t>0,300000000</t>
  </si>
  <si>
    <t>88309U</t>
  </si>
  <si>
    <t>PEDREIRO COM ENCARGOS COMPLEMENTARES</t>
  </si>
  <si>
    <t>PEDRA BRITADA N. 3 (38 A 50 MM) POSTO PEDREIRA/FORNECEDOR, SEM FRETE</t>
  </si>
  <si>
    <t>0,030000000</t>
  </si>
  <si>
    <t>CHAPA DE MADEIRA COMPENSADA RESINADA PARA FORMA DE CONCRETO, DE *2,2 X 1,1* M, E = 17 MM</t>
  </si>
  <si>
    <t>0,600000000</t>
  </si>
  <si>
    <t>0,023000000</t>
  </si>
  <si>
    <t>0,004000000</t>
  </si>
  <si>
    <t>0,036500000</t>
  </si>
  <si>
    <t>CONCRETO USINADO BOMBEAVEL, CLASSE DE RESISTENCIA C25, COM BRITA 0 E 1, SLUMP = 100 +/- 20 MM, INCLUI SERVICO DE BOMBEAMENTO (NBR 8953)</t>
  </si>
  <si>
    <t>0,363000000</t>
  </si>
  <si>
    <t>0,544000000</t>
  </si>
  <si>
    <t>90586U</t>
  </si>
  <si>
    <t>VIBRADOR DE IMERSÃO, DIÂMETRO DE PONTEIRA 45MM, MOTOR ELÉTRICO TRIFÁSICO POTÊNCIA DE 2 CV - CHP DIURNO. AF_06/2015</t>
  </si>
  <si>
    <t>0,088000000</t>
  </si>
  <si>
    <t>90587U</t>
  </si>
  <si>
    <t>VIBRADOR DE IMERSÃO, DIÂMETRO DE PONTEIRA 45MM, MOTOR ELÉTRICO TRIFÁSICO POTÊNCIA DE 2 CV - CHI DIURNO. AF_06/2015</t>
  </si>
  <si>
    <t>0,093000000</t>
  </si>
  <si>
    <t>88243U</t>
  </si>
  <si>
    <t>AJUDANTE ESPECIALIZADO COM ENCARGOS COMPLEMENTARES</t>
  </si>
  <si>
    <t>0,085000000</t>
  </si>
  <si>
    <t>0,113000000</t>
  </si>
  <si>
    <t>0,512000000</t>
  </si>
  <si>
    <t>0,586000000</t>
  </si>
  <si>
    <t>0,127000000</t>
  </si>
  <si>
    <t>Montador</t>
  </si>
  <si>
    <t>0,200000000</t>
  </si>
  <si>
    <t>0,900000000</t>
  </si>
  <si>
    <t>0,880000000</t>
  </si>
  <si>
    <t>Concreto dosado em central C25 S50</t>
  </si>
  <si>
    <t>0,163000000</t>
  </si>
  <si>
    <t>07.006.000002.MAT</t>
  </si>
  <si>
    <t>Chapa de aço com nervuras trapezoidais para laje # 0,95 mm</t>
  </si>
  <si>
    <t>0,007000000</t>
  </si>
  <si>
    <t>0,122000000</t>
  </si>
  <si>
    <t>0,149100000</t>
  </si>
  <si>
    <t>CONCRETO USINADO BOMBEAVEL, CLASSE DE RESISTENCIA C25, COM BRITA 0 E 1, SLUMP = 100 +/- 20 MM, EXCLUI SERVICO DE BOMBEAMENTO (NBR 8953)</t>
  </si>
  <si>
    <t>0,035000000</t>
  </si>
  <si>
    <t>0,015000000</t>
  </si>
  <si>
    <t>88248U</t>
  </si>
  <si>
    <t>AUXILIAR DE ENCANADOR OU BOMBEIRO HIDRÁULICO COM ENCARGOS COMPLEMENTARES</t>
  </si>
  <si>
    <t>88267U</t>
  </si>
  <si>
    <t>ENCANADOR OU BOMBEIRO HIDRÁULICO COM ENCARGOS COMPLEMENTARES</t>
  </si>
  <si>
    <t>0,750000000</t>
  </si>
  <si>
    <t>POLIESTIRENO EXPANDIDO/EPS (ISOPOR), TIPO 2F, PLACA, ISOLAMENTO TERMOACUSTICO, E = 10 MM, 1000 X 500 MM</t>
  </si>
  <si>
    <t>COLA BRANCA BASE PVA</t>
  </si>
  <si>
    <t>LIXA EM FOLHA PARA PAREDE OU MADEIRA, NUMERO 120 (COR VERMELHA)</t>
  </si>
  <si>
    <t>88310U</t>
  </si>
  <si>
    <t>PINTOR COM ENCARGOS COMPLEMENTARES</t>
  </si>
  <si>
    <t>0,056300000</t>
  </si>
  <si>
    <t>0,055800000</t>
  </si>
  <si>
    <t>JUNTA DILATACAO ELASTICA PARA CONCRETO (FUGENBAND) O-22, ATE 30 MCA</t>
  </si>
  <si>
    <t>0,120000000</t>
  </si>
  <si>
    <t>88315U</t>
  </si>
  <si>
    <t>SERRALHEIRO COM ENCARGOS COMPLEMENTARES</t>
  </si>
  <si>
    <t>98746U</t>
  </si>
  <si>
    <t>SOLDA DE TOPO EM CHAPA/PERFIL/TUBO DE AÇO CHANFRADO, ESPESSURA=1/4. AF_06/2018</t>
  </si>
  <si>
    <t>LT</t>
  </si>
  <si>
    <t>LIXA E FOLHA PARA FERRO, Nº 150</t>
  </si>
  <si>
    <t>SOLVENTE DILUENTE A BASE DE AGUARRÁZ</t>
  </si>
  <si>
    <t>CENTO</t>
  </si>
  <si>
    <t>94970U</t>
  </si>
  <si>
    <t>CONCRETO FCK = 20MPA, TRAÇO 1:2,7:3 (CIMENTO/ AREIA MÉDIA/ BRITA 1) - PREPARO MECÂNICO COM BETONEIRA 600 L. AF_07/2016</t>
  </si>
  <si>
    <t>TIJOLO CERAMICO MACICO *5 X 10 X 20* CM</t>
  </si>
  <si>
    <t>Tijolo cerâmico comum para alvenaria 5,5 x 11 x 23,5 cm</t>
  </si>
  <si>
    <t>ACO CA-50, 12,5 MM, VERGALHAO</t>
  </si>
  <si>
    <t>GRANITO PARA BANCADA, POLIDO, TIPO ANDORINHA/ QUARTZ/ CASTELO/ CORUMBA OU OUTROS EQUIVALENTES DA REGIAO, E= *2,5* CM</t>
  </si>
  <si>
    <t>CIMENTO BRANCO</t>
  </si>
  <si>
    <t>0,700000000</t>
  </si>
  <si>
    <t>88274U</t>
  </si>
  <si>
    <t>MARMORISTA/GRANITEIRO COM ENCARGOS COMPLEMENTARES</t>
  </si>
  <si>
    <t>88631U</t>
  </si>
  <si>
    <t>ARGAMASSA TRAÇO 1:4 (EM VOLUME DE CIMENTO E AREIA MÉDIA ÚMIDA), PREPARO MANUAL. AF_08/2019</t>
  </si>
  <si>
    <t>0,003300000</t>
  </si>
  <si>
    <t>04.01.211.25U</t>
  </si>
  <si>
    <t>Porta Metálica de abrir, com perfis estruturantes e caixilhos em aço, fechamento em chapa dobrada e=1,2mm</t>
  </si>
  <si>
    <t>0,310000000</t>
  </si>
  <si>
    <t>04.01.211.26U</t>
  </si>
  <si>
    <t>Porta Metálica de abrir, com perfis estruturantes e caixilhos em aço, fechamento em chapa dobrada e=1,2mm, com isolamento acústico</t>
  </si>
  <si>
    <t>DOBRADICA EM LATAO, 3 " X 2 1/2 ", E= 1,9 A 2 MM, COM ANEL, CROMADO, TAMPA BOLA, COM PARAFUSOS</t>
  </si>
  <si>
    <t>CHAPA DE ACO FINA A FRIO BITOLA MSG 24, E = 0,60 MM (4,80 KG/M2)</t>
  </si>
  <si>
    <t>0,490000000</t>
  </si>
  <si>
    <t>CANTONEIRA FERRO GALVANIZADO DE ABAS IGUAIS, 1" X 1/8" (L X E) , 1,20KG/M</t>
  </si>
  <si>
    <t>0,400000000</t>
  </si>
  <si>
    <t>0,890000000</t>
  </si>
  <si>
    <t>04.01.200.039</t>
  </si>
  <si>
    <t>PERFIL CHAPA DOBRADA CAIXA P/ROLDANA 30X35MM (L.D.=160MM)#1,2MM (1,536 kg/M)</t>
  </si>
  <si>
    <t>04.01.200.043U</t>
  </si>
  <si>
    <t>PERFIL INDUSTRIAL CANTONEIRA ABAS IGUAIS 1.1/2" # 5MM (2,97 kg/m)</t>
  </si>
  <si>
    <t>04.01.200.044U</t>
  </si>
  <si>
    <t>PERFIL INDUSTRIAL CANTONEIRA ABAS IGUAIS 3" # 6MM (6,87 kg/m)</t>
  </si>
  <si>
    <t>ELETRODO REVESTIDO AWS - E7018, DIAMETRO IGUAL A 4,00 MM</t>
  </si>
  <si>
    <t>ACO CA-25, 25,0 MM, VERGALHAO</t>
  </si>
  <si>
    <t>88317U</t>
  </si>
  <si>
    <t>SOLDADOR COM ENCARGOS COMPLEMENTARES</t>
  </si>
  <si>
    <t>98764U</t>
  </si>
  <si>
    <t>INVERSOR DE SOLDA MONOFÁSICO DE 160 A, POTÊNCIA DE 5400 W, TENSÃO DE 220 V, PARA SOLDA COM ELETRODOS DE 2,0 A 4,0 MM E PROCESSO TIG - CHP DIURNO. AF_06/2018</t>
  </si>
  <si>
    <t>0,670000000</t>
  </si>
  <si>
    <t>04.01.200.021</t>
  </si>
  <si>
    <t>PERFIL INDUSTRIAL RETANGULAR 150X100M#18 (32,2 kg/br)</t>
  </si>
  <si>
    <t>04.01.200.023</t>
  </si>
  <si>
    <t>PERFIL INDUSTRIAL RETANGULAR 80X40M#18 (14,8 kg/br)</t>
  </si>
  <si>
    <t>04.01.200.024</t>
  </si>
  <si>
    <t>PERFIL INDUSTRIAL RETANGULAR 40X18M#22 (6,69 kg/br)</t>
  </si>
  <si>
    <t>04.01.200.025</t>
  </si>
  <si>
    <t>PERFIL INDUSTRIAL RETANGULAR 40X15M#22 (5,42 kg/br)</t>
  </si>
  <si>
    <t>04.01.200.026</t>
  </si>
  <si>
    <t>PERFIL INDUSTRIAL RETANGULAR 25X15M#22 (4,296 kg/br)</t>
  </si>
  <si>
    <t>04.01.200.027</t>
  </si>
  <si>
    <t>PERFIL INDUSTRIAL RETANGULAR 15X15M#22 (3,87 kg/br)</t>
  </si>
  <si>
    <t>04.01.200.030</t>
  </si>
  <si>
    <t>CANTONEIRA DE CHAPA DOBRADA # 14 21,5x44mm (0,672 kg/m)</t>
  </si>
  <si>
    <t>04.01.200.035</t>
  </si>
  <si>
    <t>PERFIL INDUSTRIAL U SIMPLES 100X50MM#22 (17,22 kg/br)</t>
  </si>
  <si>
    <t>04.01.200.060</t>
  </si>
  <si>
    <t>Braço Maximo ar 400mm</t>
  </si>
  <si>
    <t>PAR</t>
  </si>
  <si>
    <t>04.01.200.061</t>
  </si>
  <si>
    <t>Fecho alavanca max ar 125 DBZ</t>
  </si>
  <si>
    <t>ELETRODO REVESTIDO AWS - E6013, DIAMETRO IGUAL A 2,50 MM</t>
  </si>
  <si>
    <t>PARAFUSO ROSCA SOBERBA ZINCADO CABECA CHATA FENDA SIMPLES 5,5 X 65 MM (2.1/2 ")</t>
  </si>
  <si>
    <t>PARAFUSO DE ACO TIPO CHUMBADOR PARABOLT, DIAMETRO 3/8", COMPRIMENTO 75 MM</t>
  </si>
  <si>
    <t>PERFIL DE BORRACHA EPDM MACICO *12 X 15* MM PARA ESQUADRIAS</t>
  </si>
  <si>
    <t>FECHADURA DE EMBUTIR PARA PORTA EXTERNA / ENTRADA, MAQUINA 55 MM, COM CILINDRO, MACANETA ALAVANCA E ESPELHO EM METAL CROMADO - NIVEL SEGURANCA MEDIO - COMPLETA</t>
  </si>
  <si>
    <t>PARAFUSO, AUTO ATARRACHANTE, CABECA CHATA, FENDA SIMPLES, 1/4? (6,35 MM) X 25 MM</t>
  </si>
  <si>
    <t>74064/1U</t>
  </si>
  <si>
    <t>FUNDO ANTICORROSIVO A BASE DE OXIDO DE FERRO (ZARCAO), DUAS DEMAOS</t>
  </si>
  <si>
    <t>BUCHA DE NYLON SEM ABA S10, COM PARAFUSO DE 6,10 X 65 MM EM ACO ZINCADO COM ROSCA SOBERBA, CABECA CHATA E FENDA PHILLIPS</t>
  </si>
  <si>
    <t>98689U</t>
  </si>
  <si>
    <t>SOLEIRA EM GRANITO, LARGURA 15 CM, ESPESSURA 2,0 CM. AF_06/2018</t>
  </si>
  <si>
    <t>0,350000000</t>
  </si>
  <si>
    <t>0,800000000</t>
  </si>
  <si>
    <t>04.01.200.028</t>
  </si>
  <si>
    <t>PERFIL INDUSTRIAL RETANGULAR 10X10M#22 (2,68 kg/br)</t>
  </si>
  <si>
    <t>04.01.200.036</t>
  </si>
  <si>
    <t>PERFIL CHAPA DOBRADA "U" 14X56MM#1,2MM (0,81 kg/M)</t>
  </si>
  <si>
    <t>04.01.200.037</t>
  </si>
  <si>
    <t>PERFIL CHAPA DOBRADA "QUADRO" 100X55MM (L.D.=250MM)#1,2MM (2,40 kg/M)</t>
  </si>
  <si>
    <t>04.01.200.038</t>
  </si>
  <si>
    <t>PERFIL CHAPA DOBRADA C/GUIA SUPERIOR 30X35MM (L.D.=195MM)#1,2MM (1,872 kg/M)</t>
  </si>
  <si>
    <t>04.01.200.040</t>
  </si>
  <si>
    <t>PERFIL CHAPA DOBRADA "QUADRO" C/ORELHA 30X40MM (L.D.=150MM)#1,2MM (1,44 kg/M)</t>
  </si>
  <si>
    <t>04.01.200.041</t>
  </si>
  <si>
    <t>PERFIL CHAPA DOBRADA "QUADRO" S/ORELHA 30X40MM (L.D.=140MM)#1,2MM (1,344kg/M)</t>
  </si>
  <si>
    <t>FECHO / FECHADURA COM PUXADOR CONCHA, COM TRANCA TIPO TRAVA, PARA JANELA / PORTA DE CORRER (INCLUI TESTA, FECHADURA, PUXADOR) - COMPLETA</t>
  </si>
  <si>
    <t>0,150000000</t>
  </si>
  <si>
    <t>SELANTE ELASTICO MONOCOMPONENTE A BASE DE POLIURETANO PARA JUNTAS DIVERSAS</t>
  </si>
  <si>
    <t>310ML</t>
  </si>
  <si>
    <t>0,850000000</t>
  </si>
  <si>
    <t>PORTA DE ABRIR EM ACO TIPO VENEZIANA, COM FUNDO ANTICORROSIVO / PRIMER DE PROTECAO, SEM GUARNICAO/ALIZAR/VISTA, 87 X 210 CM</t>
  </si>
  <si>
    <t>88251U</t>
  </si>
  <si>
    <t>AUXILIAR DE SERRALHEIRO COM ENCARGOS COMPLEMENTARES</t>
  </si>
  <si>
    <t>04.01.200.022</t>
  </si>
  <si>
    <t>PERFIL INDUSTRIAL RETANGULAR 100X50M#18 (18,1 kg/br)</t>
  </si>
  <si>
    <t>TUBO ACO GALVANIZADO COM COSTURA, CLASSE LEVE, DN 40 MM ( 1 1/2"), E = 3,00 MM, *3,48* KG/M (NBR 5580)</t>
  </si>
  <si>
    <t>88242U</t>
  </si>
  <si>
    <t>AJUDANTE DE PEDREIRO COM ENCARGOS COMPLEMENTARES</t>
  </si>
  <si>
    <t>TUBO ACO GALVANIZADO COM COSTURA, CLASSE MEDIA, DN 1.1/2", E = *3,25* MM, PESO *3,61* KG/M (NBR 5580)</t>
  </si>
  <si>
    <t>CHAPA DE ACO GROSSA, ASTM A36, E = 3/8 " (9,53 MM) 74,69 KG/M2</t>
  </si>
  <si>
    <t>Caixilho de alumínio para porta de vidro de correr (6,23x3,10m)</t>
  </si>
  <si>
    <t>0,052000000</t>
  </si>
  <si>
    <t>04.01.241.13U</t>
  </si>
  <si>
    <t>Caixilho de alumínio para janelas de vidro de correr (6,36x2,20m)</t>
  </si>
  <si>
    <t>0,072000000</t>
  </si>
  <si>
    <t>MASSA PARA VIDRO</t>
  </si>
  <si>
    <t>VIDRO TEMPERADO INCOLOR E = 6 MM, SEM COLOCACAO</t>
  </si>
  <si>
    <t>88325U</t>
  </si>
  <si>
    <t>VIDRACEIRO COM ENCARGOS COMPLEMENTARES</t>
  </si>
  <si>
    <t>VIDRO TEMPERADO INCOLOR E = 8 MM, SEM COLOCACAO</t>
  </si>
  <si>
    <t>VIDRO TEMPERADO INCOLOR E = 10 MM, SEM COLOCACAO</t>
  </si>
  <si>
    <t>ESPELHO CRISTAL E = 4 MM</t>
  </si>
  <si>
    <t>CHAPA DE MADEIRA COMPENSADA NAVAL (COM COLA FENOLICA), E = 6 MM, DE *1,60 X 2,20* M</t>
  </si>
  <si>
    <t>CANTONEIRA ALUMINIO ABAS DESIGUAIS 1" X 3/4 ", E = 1/8 "</t>
  </si>
  <si>
    <t>ADITIVO ADESIVO LIQUIDO PARA ARGAMASSAS DE REVESTIMENTOS CIMENTICIOS</t>
  </si>
  <si>
    <t>0,180000000</t>
  </si>
  <si>
    <t>JUNTA PLASTICA DE DILATACAO PARA PISOS, COR CINZA, 17 X 3 MM (ALTURA X ESPESSURA)</t>
  </si>
  <si>
    <t>PISO EM GRANILITE, MARMORITE OU GRANITINA, AGREGADO COR PRETO, CINZA, PALHA OU BRANCO, E= *8* MM (INCLUSO EXECUCAO)</t>
  </si>
  <si>
    <t>87373U</t>
  </si>
  <si>
    <t>ARGAMASSA TRAÇO 1:4 (EM VOLUME DE CIMENTO E AREIA MÉDIA ÚMIDA) PARA CONTRAPISO, PREPARO MANUAL. AF_08/2019</t>
  </si>
  <si>
    <t>CIMENTO PORTLAND COMPOSTO CP II-32</t>
  </si>
  <si>
    <t>87301U</t>
  </si>
  <si>
    <t>ARGAMASSA TRAÇO 1:4 (EM VOLUME DE CIMENTO E AREIA MÉDIA ÚMIDA) PARA CONTRAPISO, PREPARO MECÂNICO COM BETONEIRA 400 L. AF_08/2019</t>
  </si>
  <si>
    <t>0,330000000</t>
  </si>
  <si>
    <t>04.01.534.1M</t>
  </si>
  <si>
    <t>Revestimento cerâmico tijolinho 6,5x25,5cm, PIERINI imperial</t>
  </si>
  <si>
    <t>ARGAMASSA COLANTE AC I PARA CERAMICAS</t>
  </si>
  <si>
    <t>REJUNTE COLORIDO, CIMENTICIO</t>
  </si>
  <si>
    <t>88256U</t>
  </si>
  <si>
    <t>AZULEJISTA OU LADRILHISTA COM ENCARGOS COMPLEMENTARES</t>
  </si>
  <si>
    <t>CHAPA DE GESSO ACARTONADO, STANDARD (ST), COR BRANCA, E = 12,5 MM, 1200 X 2400 MM (L X C)</t>
  </si>
  <si>
    <t>FITA DE PAPEL REFORCADA COM LAMINA DE METAL PARA REFORCO DE CANTOS DE CHAPA DE GESSO PARA DRYWALL</t>
  </si>
  <si>
    <t>MASSA DE REJUNTE EM PO PARA DRYWALL, A BASE DE GESSO, SECAGEM RAPIDA, PARA TRATAMENTO DE JUNTAS DE CHAPA DE GESSO (COM ADICAO DE AGUA)</t>
  </si>
  <si>
    <t>PARAFUSO DRY WALL, EM ACO FOSFATIZADO, CABECA TROMBETA E PONTA AGULHA (TA), COMPRIMENTO 25 MM</t>
  </si>
  <si>
    <t>88278U</t>
  </si>
  <si>
    <t>MONTADOR DE ESTRUTURA METÁLICA COM ENCARGOS COMPLEMENTARES</t>
  </si>
  <si>
    <t>PARAFUSO DRY WALL, EM ACO ZINCADO, CABECA LENTILHA E PONTA BROCA (LB), LARGURA 4,2 MM, COMPRIMENTO 13 MM</t>
  </si>
  <si>
    <t>Ajudante de pintor</t>
  </si>
  <si>
    <t>Pintor</t>
  </si>
  <si>
    <t>21.001.000014.MAT</t>
  </si>
  <si>
    <t>Hidrorepelente incolor à base de silano-siloxano (resina de silicone)</t>
  </si>
  <si>
    <t>ACIDO MURIATICO, DILUICAO 10% A 12% PARA USO EM LIMPEZA</t>
  </si>
  <si>
    <t>TINTA BORRACHA CLORADA, ACABAMENTO SEMIBRILHO, CORES VIVAS</t>
  </si>
  <si>
    <t>SOLVENTE DILUENTE A BASE DE AGUARRAS</t>
  </si>
  <si>
    <t>LIXA EM FOLHA PARA FERRO, NUMERO 150</t>
  </si>
  <si>
    <t>TINTA ESMALTE SINTETICO PREMIUM BRILHANTE</t>
  </si>
  <si>
    <t>0,144000000</t>
  </si>
  <si>
    <t>FUNDO ANTICORROSIVO PARA METAIS FERROSOS (ZARCAO)</t>
  </si>
  <si>
    <t>PINO DE ACO COM ARRUELA CONICA, DIAMETRO ARRUELA = *23* MM E COMP HASTE = *27* MM (ACAO INDIRETA)</t>
  </si>
  <si>
    <t>PERFIL GUIA, FORMATO U, EM ACO ZINCADO, PARA ESTRUTURA PAREDE DRYWALL, E = 0,5 MM, 70 X 3000 MM (L X C)</t>
  </si>
  <si>
    <t>PERFIL MONTANTE, FORMATO C, EM ACO ZINCADO, PARA ESTRUTURA PAREDE DRYWALL, E = 0,5 MM, 70 X 3000 MM (L X C)</t>
  </si>
  <si>
    <t>FITA DE PAPEL MICROPERFURADO, 50 X 150 MM, PARA TRATAMENTO DE JUNTAS DE CHAPA DE GESSO PARA DRYWALL</t>
  </si>
  <si>
    <t>ISOLAMENTO TERMICO COM MANTA DE LA DE VIDRO, ESPESSURA 2,5CM</t>
  </si>
  <si>
    <t>GEOTEXTIL NAO TECIDO AGULHADO DE FILAMENTOS CONTINUOS 100% POLIESTER, RESITENCIA A TRACAO = 21 KN/M</t>
  </si>
  <si>
    <t>12.021.000001.MAT</t>
  </si>
  <si>
    <t>Emulsão acrílica</t>
  </si>
  <si>
    <t>0,690000000</t>
  </si>
  <si>
    <t>0,345000000</t>
  </si>
  <si>
    <t>Areia média lavada</t>
  </si>
  <si>
    <t>EMPRE</t>
  </si>
  <si>
    <t>10.002.000046.MAT</t>
  </si>
  <si>
    <t>Manta asfáltica estruturada com filme polietileno # 3 mm</t>
  </si>
  <si>
    <t>0,108000000</t>
  </si>
  <si>
    <t>AREIA MEDIA - POSTO JAZIDA/FORNECEDOR (RETIRADO NA JAZIDA, SEM TRANSPORTE)</t>
  </si>
  <si>
    <t>GRANILHA/ GRANA/ PEDRISCO OU AGREGADO EM MARMORE/ GRANITO/ QUARTZO E CALCARIO, PRETO, CINZA, PALHA OU BRANCO</t>
  </si>
  <si>
    <t>0,540000000</t>
  </si>
  <si>
    <t>LADRILHO HIDRAULICO, *20 x 20* CM, E= 2 CM, PADRAO COPACABANA, 2 CORES (PRETO E BRANCO)</t>
  </si>
  <si>
    <t>ARGAMASSA COLANTE TIPO ACIII</t>
  </si>
  <si>
    <t>RESINA ACRILICA BASE AGUA - COR BRANCA</t>
  </si>
  <si>
    <t>01.016.000004.SET</t>
  </si>
  <si>
    <t>Peitoril reto de granito cinza andorinha 25 x 2 cm</t>
  </si>
  <si>
    <t>06.103.000325.SER</t>
  </si>
  <si>
    <t>Argamassa mista de cimento, cal e areia traço 1:1:4</t>
  </si>
  <si>
    <t>0,006250000</t>
  </si>
  <si>
    <t>0,790000000</t>
  </si>
  <si>
    <t>REJUNTE EPOXI BRANCO</t>
  </si>
  <si>
    <t>0,025700000</t>
  </si>
  <si>
    <t>SUPORTE MAO-FRANCESA EM ACO, ABAS IGUAIS 30 CM, CAPACIDADE MINIMA 60 KG, BRANCO</t>
  </si>
  <si>
    <t>MASSA PLASTICA PARA MARMORE/GRANITO</t>
  </si>
  <si>
    <t>0,384400000</t>
  </si>
  <si>
    <t>SUPORTE MAO-FRANCESA EM ACO, ABAS IGUAIS 40 CM, CAPACIDADE MINIMA 70 KG, BRANCO</t>
  </si>
  <si>
    <t>0,007940000</t>
  </si>
  <si>
    <t>0,006900000</t>
  </si>
  <si>
    <t>0,076000000</t>
  </si>
  <si>
    <t>LIXA DAGUA EM FOLHA, GRAO 100</t>
  </si>
  <si>
    <t>0,038000000</t>
  </si>
  <si>
    <t>SOLUCAO LIMPADORA PARA PVC, FRASCO COM 1000 CM3</t>
  </si>
  <si>
    <t>14.001.000433.MAT</t>
  </si>
  <si>
    <t>Joelho 90º PVC soldável Ø 25 mm com bucha de latão roscável Ø 1/2"</t>
  </si>
  <si>
    <t>Solução limpadora para PVC</t>
  </si>
  <si>
    <t>0,002200000</t>
  </si>
  <si>
    <t>0,090000000</t>
  </si>
  <si>
    <t>0,009500000</t>
  </si>
  <si>
    <t>14.001.000530.MAT</t>
  </si>
  <si>
    <t>Bucha PVC soldável de redução curta Ø 32 mm x Ø 25 mm</t>
  </si>
  <si>
    <t>0,140000000</t>
  </si>
  <si>
    <t>0,012500000</t>
  </si>
  <si>
    <t>14.001.000531.MAT</t>
  </si>
  <si>
    <t>Bucha PVC soldável de redução curta Ø 40 mm x Ø 32 mm</t>
  </si>
  <si>
    <t>0,007480000</t>
  </si>
  <si>
    <t>0,170000000</t>
  </si>
  <si>
    <t>0,015200000</t>
  </si>
  <si>
    <t>14.001.000532.MAT</t>
  </si>
  <si>
    <t>Bucha PVC soldável de redução curta Ø 50 mm x Ø 40 mm</t>
  </si>
  <si>
    <t>0,011600000</t>
  </si>
  <si>
    <t>ADESIVO PLASTICO PARA PVC, FRASCO COM 850 GR</t>
  </si>
  <si>
    <t>PÇ</t>
  </si>
  <si>
    <t>Engate flexível em PVC Ø 1/2" x 30 cm</t>
  </si>
  <si>
    <t>Engate flexível metálico Ø 1/2" x 30 cm</t>
  </si>
  <si>
    <t>15.003.000015.MAT</t>
  </si>
  <si>
    <t>Coluna de louça suspensa para lavatório de louça indicado para portadores de necessidades especiais</t>
  </si>
  <si>
    <t>Lavatório de louça indicado para portadores de necessidades especiais para coluna suspensa</t>
  </si>
  <si>
    <t>15.004.000001.MAT</t>
  </si>
  <si>
    <t>Barra de apoio para portadores de necessidades especiais em aço galvanizado revestido com PVC em formato "L" Ø 1 1/4", 66 x 66 cm</t>
  </si>
  <si>
    <t>25.002.000021.MAT</t>
  </si>
  <si>
    <t>Parafuso cromado Ø 1/4" x 2 1/2"</t>
  </si>
  <si>
    <t>25.011.000003.MAT</t>
  </si>
  <si>
    <t>Bucha de nylon Ø 5 mm com parafuso auto-atarraxante cabeça panela fenda simples Ø 3,8 mm x 30 mm</t>
  </si>
  <si>
    <t>MICTORIO SIFONADO LOUCA BRANCA SEM COMPLEMENTOS</t>
  </si>
  <si>
    <t>ENGATE / RABICHO FLEXIVEL INOX 1/2 " X 30 CM</t>
  </si>
  <si>
    <t>FITA VEDA ROSCA EM ROLOS DE 18 MM X 10 M (L X C)</t>
  </si>
  <si>
    <t>PARAFUSO NIQUELADO 3 1/2" COM ACABAMENTO CROMADO PARA FIXAR PECA SANITARIA, INCLUI PORCA CEGA, ARRUELA E BUCHA DE NYLON TAMANHO S-8</t>
  </si>
  <si>
    <t>REGISTRO PRESSAO COM ACABAMENTO E CANOPLA CROMADA, SIMPLES, BITOLA 1/2 " (REF 1416)</t>
  </si>
  <si>
    <t>0,230000000</t>
  </si>
  <si>
    <t>BOMBA CENTRIFUGA, MOTOR ELETRICO TRIFASICO 1,48HP DIAMETRO DE SUCCAO X ELEVACAO 1 1/2" X 1", DIAMETRO DO ROTOR 117 MM, HM/Q: 10 M / 21,9 M3/H A 24 M / 6,1 M3/H</t>
  </si>
  <si>
    <t>88279U</t>
  </si>
  <si>
    <t>MONTADOR ELETROMECÃNICO COM ENCARGOS COMPLEMENTARES</t>
  </si>
  <si>
    <t>AUTOMATICO DE BOIA SUPERIOR / INFERIOR, *15* A / 250 V</t>
  </si>
  <si>
    <t>88247U</t>
  </si>
  <si>
    <t>AUXILIAR DE ELETRICISTA COM ENCARGOS COMPLEMENTARES</t>
  </si>
  <si>
    <t>88264U</t>
  </si>
  <si>
    <t>ELETRICISTA COM ENCARGOS COMPLEMENTARES</t>
  </si>
  <si>
    <t>TINTA A OLEO BRILHANTE PARA MADEIRA E METAIS</t>
  </si>
  <si>
    <t>0,160000000</t>
  </si>
  <si>
    <t>Ralo fofo semiesferico, 75 mm, para lajes/ calhas</t>
  </si>
  <si>
    <t>Ralo fofo semiesferico, 100 mm, para lajes/ calhas</t>
  </si>
  <si>
    <t>87316U</t>
  </si>
  <si>
    <t>ARGAMASSA TRAÇO 1:4 (EM VOLUME DE CIMENTO E AREIA GROSSA ÚMIDA) PARA CHAPISCO CONVENCIONAL, PREPARO MECÂNICO COM BETONEIRA 400 L. AF_08/2019</t>
  </si>
  <si>
    <t>CAP PVC, SOLDAVEL, DN 100 MM, SERIE NORMAL, PARA ESGOTO PREDIAL</t>
  </si>
  <si>
    <t>0,046000000</t>
  </si>
  <si>
    <t>00485/ORSE</t>
  </si>
  <si>
    <t>Caixa de passagem 30x30cm, em chapa de aço galvanizado p/eletrica</t>
  </si>
  <si>
    <t>00589/ORSE</t>
  </si>
  <si>
    <t>Chave liga-desliga 3x30a</t>
  </si>
  <si>
    <t>49,50</t>
  </si>
  <si>
    <t>00597/ORSE</t>
  </si>
  <si>
    <t>Chave seccionadora fusível nh sem carga 250a</t>
  </si>
  <si>
    <t>09290/ORSE</t>
  </si>
  <si>
    <t>Caixa de medição indireta em chapa galvanizada dim. 60 x 40 x 10cm</t>
  </si>
  <si>
    <t>CAIXA INTERNA DE MEDICAO PARA 1 MEDIDOR TRIFASICO, COM VISOR, EM CHAPA DE ACO 18 USG (PADRAO DA CONCESSIONARIA LOCAL)</t>
  </si>
  <si>
    <t>CAIXA DE PROTECAO PARA 1 MEDIDOR MONOFASICO, EM CHAPA DE ACO 20 USG (PADRAO DA CONCESSIONARIA LOCAL)</t>
  </si>
  <si>
    <t>83490U</t>
  </si>
  <si>
    <t>CHAVE FACA TRIPOLAR BLINDADA 250V/30A - FORNECIMENTO E INSTALACAO</t>
  </si>
  <si>
    <t>FITA ISOLANTE ADESIVA ANTICHAMA, USO ATE 750 V, EM ROLO DE 19 MM X 5 M</t>
  </si>
  <si>
    <t>CAL HIDRATADA CH-I PARA ARGAMASSAS</t>
  </si>
  <si>
    <t>TAMPAO FOFO SIMPLES COM BASE, CLASSE A15 CARGA MAX 1,5 T, *400 X 600* MM, REDE TELEFONE</t>
  </si>
  <si>
    <t>ACO CA-60, 5,0 MM, VERGALHAO</t>
  </si>
  <si>
    <t>PEDRA BRITADA N. 1 (9,5 a 19 MM) POSTO PEDREIRA/FORNECEDOR, SEM FRETE</t>
  </si>
  <si>
    <t>QUADRO DE DISTRIBUICAO COM BARRAMENTO TRIFASICO, DE EMBUTIR, EM CHAPA DE ACO GALVANIZADO, PARA 12 DISJUNTORES DIN, 100 A</t>
  </si>
  <si>
    <t>DISJUNTOR TIPO NEMA, TRIPOLAR 60 ATE 100 A, TENSAO MAXIMA DE 415 V</t>
  </si>
  <si>
    <t>DISJUNTOR TIPO NEMA, TRIPOLAR 10 ATE 50A, TENSAO MAXIMA DE 415 V</t>
  </si>
  <si>
    <t>Disjuntor tetrapolar DR 80 A, dispositivo residual diferencial, tipo AC, 30mA</t>
  </si>
  <si>
    <t>QUADRO DE DISTRIBUICAO COM BARRAMENTO TRIFASICO, DE EMBUTIR, EM CHAPA DE ACO GALVANIZADO, PARA 30 DISJUNTORES DIN, 225 A</t>
  </si>
  <si>
    <t>DISJUNTOR TIPO NEMA, MONOPOLAR 10 ATE 30A, TENSAO MAXIMA DE 240 V</t>
  </si>
  <si>
    <t>DISJUNTOR TIPO NEMA, MONOPOLAR 35 ATE 50 A, TENSAO MAXIMA DE 240 V</t>
  </si>
  <si>
    <t>07943/ORSE</t>
  </si>
  <si>
    <t>Disjuntor tetrapolar DR 25 A, dispositivo residual diferencial, tipo AC, 30mA</t>
  </si>
  <si>
    <t>0,065300000</t>
  </si>
  <si>
    <t>16.027.000025.MAT</t>
  </si>
  <si>
    <t>Eletrocalha aço galvanizado # 22, lisa tipo "U", sem tampa 75 x 50 mm</t>
  </si>
  <si>
    <t>16.027.000038.MAT</t>
  </si>
  <si>
    <t>Barra roscada em aço Ø 1/4", comprimento 1 m, bicromatizada ou zincada</t>
  </si>
  <si>
    <t>16.027.000057.MAT</t>
  </si>
  <si>
    <t>Suporte suspensão para tirante</t>
  </si>
  <si>
    <t>Parafuso lentilha 1/4 x 1/2"</t>
  </si>
  <si>
    <t>16.027.000098.MAT</t>
  </si>
  <si>
    <t>Tala auto portante para emenda 50 mm</t>
  </si>
  <si>
    <t>0,666666667</t>
  </si>
  <si>
    <t>25.011.000002.MAT</t>
  </si>
  <si>
    <t>Bucha de nylon Ø 8 mm com parafuso auto-atarraxante cabeça panela fenda simples Ø 4,8 mm x 50 mm</t>
  </si>
  <si>
    <t>16.027.000023.MAT</t>
  </si>
  <si>
    <t>Eletrocalha aço galvanizado # 22, lisa tipo "U", sem tampa 50 x 50mm</t>
  </si>
  <si>
    <t>Suporte suspensão vertical para eletrocalha 50 x 50 mm largura x aba</t>
  </si>
  <si>
    <t>16.027.000031.MAT</t>
  </si>
  <si>
    <t>Eletrocalha aço galvanizado # 22, perfurada tipo "U", sem tampa 100 x 50 mm</t>
  </si>
  <si>
    <t>Suporte suspensão vertical para eletrocalha 100 x 50 mm largura x aba</t>
  </si>
  <si>
    <t>Suporte suspensão omega para eletrocalha 150 x 50 mm largura x aba</t>
  </si>
  <si>
    <t>16.027.000079.MAT</t>
  </si>
  <si>
    <t>Eletrocalha aço galvanizado # 22, lisa tipo "U", sem tampa 150 x 50 mm</t>
  </si>
  <si>
    <t>16.027.000095.MAT</t>
  </si>
  <si>
    <t>Prolongador para tirante rosqueado de 1/4" x 50 mm</t>
  </si>
  <si>
    <t>16.113.001035.SER</t>
  </si>
  <si>
    <t>Tiro com pistola para fixação de pino Ø 1/4" em concreto, inclusive cartucho e pino</t>
  </si>
  <si>
    <t>CHUMBADOR, DIAMETRO 1/4" COM PARAFUSO 1/4" X 40 MM</t>
  </si>
  <si>
    <t>0,450000000</t>
  </si>
  <si>
    <t>PERFIL DE ALUMINIO ANODIZADO</t>
  </si>
  <si>
    <t>LUMINÁRIAS TIPO CALHA, DE SOBREPOR, COM REATORES DE PARTIDA RÁPIDA E LÂMPADAS FLUORESCENTES 2X2X36W, COMPLETAS, FORNECIMENTO E INSTALAÇÃO</t>
  </si>
  <si>
    <t>07952/ORSE</t>
  </si>
  <si>
    <t>Luminária de embutir no forro, ref.CE-2495, em aluminio repuxado, Tecnolux ou similar</t>
  </si>
  <si>
    <t>LAMPADA LED 10 W BIVOLT BRANCA, FORMATO TRADICIONAL (BASE E27)</t>
  </si>
  <si>
    <t>Spot de sobrepor orientável, ref. 110/1 MCA da Concinco ou similar</t>
  </si>
  <si>
    <t>LAMPADA VAPOR METALICO OVOIDE 150 W, BASE E27/E40</t>
  </si>
  <si>
    <t>09493/ORSE</t>
  </si>
  <si>
    <t>Caixa de passagem em alumínio 15 x 15 x 10 cm</t>
  </si>
  <si>
    <t>SUPORTE DE FIXACAO PARA ESPELHO / PLACA 4" X 4", PARA 6 MODULOS, PARA INSTALACAO DE TOMADAS E INTERRUPTORES (SOMENTE SUPORTE)</t>
  </si>
  <si>
    <t>TOMADA INDUSTRIAL DE EMBUTIR 3P+T 30 A, 440 V, COM TRAVA, SEM PLACA</t>
  </si>
  <si>
    <t>BASE PARA MASTRO DE PARA-RAIOS DIAMETRO NOMINAL 2"</t>
  </si>
  <si>
    <t>ABRACADEIRA DE LATAO PARA FIXACAO DE CABO PARA-RAIO, DIMENSOES 32 X 24 X 24 MM</t>
  </si>
  <si>
    <t>ABRACADEIRA, GALVANIZADA/ZINCADA, ROSCA SEM FIM, PARAFUSO INOX, LARGURA FITA *12,6 A *14 MM, D = 2" A 2 1/2"</t>
  </si>
  <si>
    <t>MASTRO SIMPLES GALVANIZADO DIAMETRO NOMINAL 2", COMPRIMENTO 3 M</t>
  </si>
  <si>
    <t>GRAMPO PARALELO METALICO PARA CABO DE 6 A 50 MM2, COM 2 PARAFUSOS</t>
  </si>
  <si>
    <t>TERMINAL METALICO A PRESSAO PARA 1 CABO DE 35 MM2, COM 1 FURO DE FIXACAO</t>
  </si>
  <si>
    <t>TERMINAL METALICO A PRESSAO PARA 1 CABO DE 50 MM2, COM 1 FURO DE FIXACAO</t>
  </si>
  <si>
    <t>TERMINAL METALICO A PRESSAO PARA 1 CABO DE 70 MM2, COM 1 FURO DE FIXACAO</t>
  </si>
  <si>
    <t>CONECTOR DE ALUMINIO TIPO PRENSA CABO, BITOLA 1/2", PARA CABOS DE DIAMETRO DE 12,5 A 15 MM</t>
  </si>
  <si>
    <t>CURVA PVC 90 GRAUS, ROSCAVEL, 2", AGUA FRIA PREDIAL</t>
  </si>
  <si>
    <t>CAIXA INSPECAO, CONCRETO PRE MOLDADO, CIRCULAR, COM TAMPA, D = 40* CM</t>
  </si>
  <si>
    <t>SUPORTE GUIA SIMPLES COM ROLDANA EM POLIPROPILENO PARA CHUMBAR, H = 20 CM</t>
  </si>
  <si>
    <t>LUVA PVC, ROSCAVEL, 2", AGUA FRIA PREDIAL</t>
  </si>
  <si>
    <t>LUVA DE REDUCAO DE FERRO GALVANIZADO, COM ROSCA BSP, DE 2" X 1"</t>
  </si>
  <si>
    <t>ABRACADEIRA EM ACO PARA AMARRACAO DE ELETRODUTOS, TIPO D, COM 2" E PARAFUSO DE FIXACAO</t>
  </si>
  <si>
    <t>PORCA OLHAL EM ACO GALVANIZADO, DIAMETRO NOMINAL DE 16 MM</t>
  </si>
  <si>
    <t>GRAMPO METALICO TIPO OLHAL PARA HASTE DE ATERRAMENTO DE 5/8, CONDUTOR DE *10* A 50 MM2</t>
  </si>
  <si>
    <t>PARA-RAIOS TIPO FRANKLIN 350 MM, EM LATAO CROMADO, DUAS DESCIDAS, PARA PROTECAO DE EDIFICACOES CONTRA DESCARGAS ATMOSFERICAS</t>
  </si>
  <si>
    <t>SUPORTE ISOLADOR REFORCADO DIAMETRO NOMINAL 5/16", COM ROSCA SOBERBA E BUCHA</t>
  </si>
  <si>
    <t>SAPATILHA EM ACO GALVANIZADO PARA CABOS COM DIAMETRO NOMINAL ATE 5/8"</t>
  </si>
  <si>
    <t>BUCHA DE REDUCAO DE FERRO GALVANIZADO, COM ROSCA BSP, DE 1" X 3/4"</t>
  </si>
  <si>
    <t>CABO DE ALUMINIO NU COM ALMA DE ACO, BITOLA 4 AWG</t>
  </si>
  <si>
    <t>CABO DE COBRE NU 35 MM2 MEIO-DURO</t>
  </si>
  <si>
    <t>CABO DE COBRE NU 50 MM2 MEIO-DURO</t>
  </si>
  <si>
    <t>88265U</t>
  </si>
  <si>
    <t>ELETRICISTA INDUSTRIAL COM ENCARGOS COMPLEMENTARES</t>
  </si>
  <si>
    <t>TUBO PVC, ROSCAVEL, 2", PARA AGUA FRIA PREDIAL</t>
  </si>
  <si>
    <t>CONECTOR METALICO TIPO PARAFUSO FENDIDO (SPLIT BOLT), COM SEPARADOR DE CABOS BIMETALICOS, PARA CABOS ATE 50 MM2</t>
  </si>
  <si>
    <t>ACO CA-50, 6,3 MM, VERGALHAO</t>
  </si>
  <si>
    <t>ALVENARIA DE VEDAÇÃO DE BLOCOS VAZADOS DE CONCRETO DE 9X19X39CM (ESPESSURA 9CM) DE PAREDES COM ÁREA LÍQUIDA MENOR QUE 6M² SEM VÃOS E ARGAMASSA DE ASSENTAMENTO COM PREPARO EM BETONEIRA. AF_06/2014</t>
  </si>
  <si>
    <t>87545U</t>
  </si>
  <si>
    <t>EMBOÇO, PARA RECEBIMENTO DE CERÂMICA, EM ARGAMASSA TRAÇO 1:2:8, PREPARO MECÂNICO COM BETONEIRA 400L, APLICADO MANUALMENTE EM FACES INTERNAS DE PAREDES, PARA AMBIENTE COM ÁREA MENOR QUE 5M2, ESPESSURA DE 10MM, COM EXECUÇÃO DE TALISCAS. AF_06/2014</t>
  </si>
  <si>
    <t>0,920000000</t>
  </si>
  <si>
    <t>94969U</t>
  </si>
  <si>
    <t>CONCRETO FCK = 15MPA, TRAÇO 1:3,4:3,5 (CIMENTO/ AREIA MÉDIA/ BRITA 1) - PREPARO MECÂNICO COM BETONEIRA 600 L. AF_07/2016</t>
  </si>
  <si>
    <t>0,684000000</t>
  </si>
  <si>
    <t>92411U</t>
  </si>
  <si>
    <t>0,470000000</t>
  </si>
  <si>
    <t>0,218000000</t>
  </si>
  <si>
    <t>0,169000000</t>
  </si>
  <si>
    <t>0,280800000</t>
  </si>
  <si>
    <t>0,004500000</t>
  </si>
  <si>
    <t>16.027.000078.MAT</t>
  </si>
  <si>
    <t>Eletrocalha aço galvanizado # 22, lisa tipo "U", sem tampa 100 x 50 mm</t>
  </si>
  <si>
    <t>0,660000000</t>
  </si>
  <si>
    <t>16.027.000064.MAT</t>
  </si>
  <si>
    <t>Eletrocalha aço galvanizado # 22, perfurada tipo "U", sem tampa 100 x 75 mm</t>
  </si>
  <si>
    <t>16.027.000099.MAT</t>
  </si>
  <si>
    <t>Tala auto portante para emenda 75 mm</t>
  </si>
  <si>
    <t>16.027.000104.MAT</t>
  </si>
  <si>
    <t>Suporte suspensão omega para eletrocalha 100 x 75 mm (largura x aba)</t>
  </si>
  <si>
    <t>0,210000000</t>
  </si>
  <si>
    <t>Cabo telefônico CTP-APL com 100 pares Ø 0,50 mm</t>
  </si>
  <si>
    <t>15.101.000010.SER</t>
  </si>
  <si>
    <t>!EM PROCESSO DESATIVACAO! ELETRODUTO EM ACO GALVANIZADO ELETROLITICO, LEVE, DIAMETRO 3/4", PAREDE DE 0,90 MM</t>
  </si>
  <si>
    <t>00970/ORSE</t>
  </si>
  <si>
    <t>Fio flexivel 2 x 1,0mm² trançado</t>
  </si>
  <si>
    <t>11890/SINAPI</t>
  </si>
  <si>
    <t>Fio de cobre, flexivel, torcido, classe 4 ou 5, isolacaoem pvc/d, 300 v, 2 condutores de 1,5 mm2</t>
  </si>
  <si>
    <t>16.037.000016.MAT</t>
  </si>
  <si>
    <t>Luminária fluorescente de emergência para 2 lâmpadas de 15 W</t>
  </si>
  <si>
    <t>07548/ORSE</t>
  </si>
  <si>
    <t>09376/ORSE</t>
  </si>
  <si>
    <t>Regulador alta pressão tipo Fisher, 28mm, classe 300, 1º estagio</t>
  </si>
  <si>
    <t>10276/ORSE</t>
  </si>
  <si>
    <t>Regulador de gás RP-21 com manômetro</t>
  </si>
  <si>
    <t>11113/ORSE</t>
  </si>
  <si>
    <t>Registro de fecho rápido 1" NPT</t>
  </si>
  <si>
    <t>REGISTRO OU REGULADOR DE GAS COZINHA, VAZAO DE 2 KG/H, 2,8 KPA</t>
  </si>
  <si>
    <t>11768/ORSE</t>
  </si>
  <si>
    <t>Cilindro de gás B45 cheio</t>
  </si>
  <si>
    <t>11827/ORSE</t>
  </si>
  <si>
    <t>Regulador de gás 2º estágio de 7 kg/h</t>
  </si>
  <si>
    <t>14.006.000045.MAT</t>
  </si>
  <si>
    <t>Registro PVC de esfera soldável Ø 25 mm</t>
  </si>
  <si>
    <t>92276U</t>
  </si>
  <si>
    <t>TUBO EM COBRE RÍGIDO, DN 28 MM, CLASSE E, SEM ISOLAMENTO, INSTALADO EM PRUMADA ? FORNECIMENTO E INSTALAÇÃO. AF_12/2015</t>
  </si>
  <si>
    <t>Tubo de aço galvanizado com costura Ø 4"</t>
  </si>
  <si>
    <t>Tubo de aço galvanizado com costura Ø 6"</t>
  </si>
  <si>
    <t>14.001.000293.MAT</t>
  </si>
  <si>
    <t>Tê 45º de ferro maleável galvanizado Ø 4"</t>
  </si>
  <si>
    <t>14.001.000295.MAT</t>
  </si>
  <si>
    <t>Tê 90º de ferro maleável galvanizado rosca BSP Ø 6"</t>
  </si>
  <si>
    <t>COTOVELO 90 GRAUS DE FERRO GALVANIZADO, COM ROSCA BSP, DE 6"</t>
  </si>
  <si>
    <t>14.006.000043.MAT</t>
  </si>
  <si>
    <t>Válvula de retenção vertical em bronze com portinhola Ø 6"</t>
  </si>
  <si>
    <t>08.01.519.5</t>
  </si>
  <si>
    <t>Bomba centrífuga trifásica Fit 100-065-160r, 30 CV Schneider</t>
  </si>
  <si>
    <t>CHAVE DE PARTIDA DIRETA TRIFASICA, COM CAIXA TERMOPLASTICA, COM FUSIVEL DE 25 A, PARA MOTOR COM POTENCIA DE 7,5 CV E TENSAO DE 380 V</t>
  </si>
  <si>
    <t>CURVA 90 GRAUS, LONGA, DE PVC RIGIDO ROSCAVEL, DE 3/4", PARA ELETRODUTO</t>
  </si>
  <si>
    <t>BUCHA EM ALUMINIO, COM ROSCA, DE 3/4", PARA ELETRODUTO</t>
  </si>
  <si>
    <t>ARRUELA EM ALUMINIO, COM ROSCA, DE 3/4", PARA ELETRODUTO</t>
  </si>
  <si>
    <t>FIO DE COBRE, SOLIDO, CLASSE 1, ISOLACAO EM PVC/A, ANTICHAMA BWF-B, 450/750V, SECAO NOMINAL 4 MM2</t>
  </si>
  <si>
    <t>08.01.519.1U</t>
  </si>
  <si>
    <t>Bomba centrífuga KSB 80/200, motor a diesel 30 HP</t>
  </si>
  <si>
    <t>BOMBA CENTRIFUGA MOTOR ELETRICO TRIFASICO 2,96HP, DIAMETRO DE SUCCAO X ELEVACAO 1 1/2" X 1 1/4", DIAMETRO DO ROTOR 148 MM, HM/Q: 34 M / 14,80 M3/H A 40 M / 8,60 M3/H</t>
  </si>
  <si>
    <t>33.175.000041.EQA</t>
  </si>
  <si>
    <t>Conjunto motor-bomba centrífuga trifásico para recalque de água 7,5 hp h man. 45 m / 25,4 m³/h</t>
  </si>
  <si>
    <t>EQ.AQ.</t>
  </si>
  <si>
    <t>ENERGIA ELETRICA ATE 2000 KWH INDUSTRIAL, SEM DEMANDA</t>
  </si>
  <si>
    <t>KW/H</t>
  </si>
  <si>
    <t>5824U</t>
  </si>
  <si>
    <t>CAMINHÃO TOCO, PBT 16.000 KG, CARGA ÚTIL MÁX. 10.685 KG, DIST. ENTRE EIXOS 4,8 M, POTÊNCIA 189 CV, INCLUSIVE CARROCERIA FIXA ABERTA DE MADEIRA P/ TRANSPORTE GERAL DE CARGA SECA, DIMEN. APROX. 2,5 X 7,00 X 0,50 M - CHP DIURNO. AF_06/2014</t>
  </si>
  <si>
    <t>Laje pré-fabricada steel deck para piso com capa de concreto C25 S50, espessura da laje 15 cm, chapa # 0,95 mm</t>
  </si>
  <si>
    <t>LASTRO DE CONCRETO MAGRO, APLICADO EM PISOS OU RADIERS, ESPESSURA DE 5 CM. AF_07/2016 - CAMADA IMPERMEABILIZADORA</t>
  </si>
  <si>
    <t>PERFIL "I" DE ACO LAMINADO, "W" 152 X 22</t>
  </si>
  <si>
    <t>DIVISORIA EM GRANITO CINZA ANDORINHA POLIDO, ESP = 2,5CM, ASSENTADO COM ARGAMASSA TRACO 1:4, ARREMATE EM CIMENTO BRANCO, EXCLUSIVE FERRAGENS</t>
  </si>
  <si>
    <t>PORTA DE AÇO DE ENROLAR TIPO GRADE, CHAPA 16</t>
  </si>
  <si>
    <t>PORTA GRADE DE ENROLAR MANUAL COMPLETA, PERFIL TUBULAR TIJOLINHO 3/4", EM AÇO GALVANIZADO</t>
  </si>
  <si>
    <t>MAT</t>
  </si>
  <si>
    <t>88627U</t>
  </si>
  <si>
    <t>ARGAMASSA TRAÇO 1:0,5:4,5 (EM VOLUME DE CIMENTO, CAL E AREIA MÉDIA ÚMIDA)</t>
  </si>
  <si>
    <t>GRADIL MÓVEL  EM TUBOS DE ACO GALVANIZADO COM COSTURA, DIN 2440, DIAMETRO 2", ALTURA 2,20M, BATENTES FIXADOS  EM BLOCOS DE CONCRETO, FECHAMENTO COM TELA DE ARAME GALVANIZADO REVESTIDO COM PVC, FIO 12 BWG E MALHA 7,5X7,5CM</t>
  </si>
  <si>
    <t>TUBO DE AÇO GALVANIZADO COM COSTURA, CLASSE MEDIA, DN 2", E=3,65MM</t>
  </si>
  <si>
    <t>SUPORTE GUIA SIMPLES COM ROLDANA DE POLIPROPILENO 2.1/2"</t>
  </si>
  <si>
    <t>ARAME GALVANIZADO 12 BWG, 2,76 MM (0,048 KG/M)</t>
  </si>
  <si>
    <t>TELA DE ARAME GALVANIZADO REVESTIDO EM PVC, QUADRANGULAR/LOSANGULAR, FIO 2,77MM (12 BWG), BITOLA FINAL 3,8MM, MALHA 7,5X7,5 CM</t>
  </si>
  <si>
    <t>PREGO DE AÇO POLIDO 18X30 (2 3/4X10)</t>
  </si>
  <si>
    <t>TABUA DE MADEIRA NAO APARELHADA 12X30 CM</t>
  </si>
  <si>
    <t>CONCRETO FCK=20 MPA, TRAÇO 1:2,7:3 (CIMNTO/AREIA/BRITA)</t>
  </si>
  <si>
    <t>88261U</t>
  </si>
  <si>
    <t>CARPINTEIRO COM ENCARGOS COMPLEMENTARES</t>
  </si>
  <si>
    <t>CX-01 (6,05x2,85) - Esquadrias com perfis estruturantes e caixilhos em aço</t>
  </si>
  <si>
    <t>CX-02 (3,89x2,85) - Esquadrias com perfis estruturantes e caixilhos em aço</t>
  </si>
  <si>
    <t>CX-03 (3,82x2,85) - Esquadrias com perfis estruturantes e caixilhos em aço</t>
  </si>
  <si>
    <t>CX-04 (6,07x2,85) - Esquadrias com perfis estruturantes e caixilhos em aço</t>
  </si>
  <si>
    <t>CX-05 (6,07x2,85) - Esquadrias com perfis estruturantes e caixilhos em aço</t>
  </si>
  <si>
    <t>CX-06 (2,94x2,85) - Esquadrias com perfis estruturantes e caixilhos em aço</t>
  </si>
  <si>
    <t>CX-07 (4,34x2,85) - Esquadrias com perfis estruturantes e caixilhos em aço</t>
  </si>
  <si>
    <t>CX-08 (4,11x2,85) - Esquadrias com perfis estruturantes e caixilhos em aço</t>
  </si>
  <si>
    <t>GRADIL DE AÇO GALVANIZADO, MONTANTES TUBULARES ESPAÇADOS DE 1,25M E TRAVESSA INFERIOR, INTERMEDIÁRIA E SUPERIOR DE 1.1/2" , TELA GALVANIZADA REVESTIDA EM PVC, MALHA 7,5X7,5 CM FIO #14 BWG, FIXADO COM CHUMBADOR MECÂNICO.</t>
  </si>
  <si>
    <t>ALAMBRADO EM TUBOS DE ACO GALVANIZADO, COM COSTURA, DIN 2440, DIAMETRO 2", ALTURA 3M, FIXADOS A CADA 2M EM BLOCOS DE CONCRETO, COM TELA DE ARAME GALVANIZADO REVESTIDO COM PVC, FIO 12 BWG E MALHA 7,5X7,5CM</t>
  </si>
  <si>
    <t>ARAME GALVANIZADO 14 BWG, D=2,11 MM (0,026 KG/M)</t>
  </si>
  <si>
    <t>ALAMBRADO EM TUBOS DE ACO GALVANIZADO, COM COSTURA, DIN 2440, DIAMETRO 2", ALTURA 2M, FIXADOS A CADA 2M EM BLOCOS DE CONCRETO, COM TELA DE ARAME GALVANIZADO REVESTIDO COM PVC, FIO 12 BWG E MALHA 7,5X7,5CM</t>
  </si>
  <si>
    <t>TE DE FERRO GALVANIZADO DE 2"</t>
  </si>
  <si>
    <t>04.01.417</t>
  </si>
  <si>
    <t>Fechamento lateral em vidro</t>
  </si>
  <si>
    <t>Fechamento lateral em vidro Aramado</t>
  </si>
  <si>
    <t>267,50</t>
  </si>
  <si>
    <t>VIDRO ARAMADO, ESPESSURA 7MM</t>
  </si>
  <si>
    <t>PINTURA ESMALTE FOSCO (2 DEMAOS) SOBRE SUPERFICIE METALICA, INCLUSIVE PROTECAO COM ZARCAO (1 DEMAO)</t>
  </si>
  <si>
    <t>PREPARO DE SUPERFÍCIE P/ IMPERMEABILIZAÇÃO, ESPESSURA MÉDIA 13,5CM.EM ARGAMASSA TRAÇO 1::2:4 (CIMENTO, AREIA, VERMICULITA), PREPARO MECÂNICO COM BETONEIRA 400 L</t>
  </si>
  <si>
    <t>PREPARO DE SUPERFÍCIE P/ IMPERMEABILIZAÇÃO, ESPESSURA MÉDIA 7,5CM.EM ARGAMASSA TRAÇO 1::2:4 (CIMENTO, AREIA, VERMICULITA), PREPARO MECÂNICO COM BETONEIRA 400 L</t>
  </si>
  <si>
    <t>AREIA GROSSA</t>
  </si>
  <si>
    <t>ARGILA EXPANDIDA SUPER FINA VERMICULITA</t>
  </si>
  <si>
    <t>BANCADA DE COPAS, LABORATÓRIOS, SECRETARIA E GUARITA EM GRANITO CINZA POLIDO COM ESPELHO 10CM, LARGURA = 60CM, EXCETO CUBA</t>
  </si>
  <si>
    <t>BANCADA DE AÇO INOXIDÁVEL  AISI 304, 2,10 x 0,60 m, COM ESPELHO 10CM, COM 1 CUBA 52X40X23 CM</t>
  </si>
  <si>
    <t>BANCADA DE AÇO INOXIDÁVEL  AISI 304, 2,75 x 0,60 m, COM ESPELHO 10CM, COM 1 CUBA 75X55X45 CM</t>
  </si>
  <si>
    <t>BANCADA DE AÇO INOXIDÁVEL  AISI 304, 2,70 x 0,60 m, COM ESPELHO 10CM, COM 1 CUBA 52X40X23 CM</t>
  </si>
  <si>
    <t>BANCADA DE AÇO INOXIDÁVEL  AISI 304, 3,25 x 0,60 m, COM ESPELHO 10CM, COM 5 CUBA REMOVÍVEIS 52X40X40 CM</t>
  </si>
  <si>
    <t>BANCADA DE AÇO INOXIDÁVEL  AISI 304, 5,50 x 0,60 m, COM ESPELHO 10CM, COM 2 CUBA 52X40X23 CM</t>
  </si>
  <si>
    <t>BANCADA DE COPA, LABORATÓRIOS, SECRETARIA E GUARITA EM GRANITO CINZA POLIDO COM ESPELHO 10CM, LARGURA = 60CM , EXCETO CUBA</t>
  </si>
  <si>
    <t>15.002.03</t>
  </si>
  <si>
    <t>BANCADA DE AÇO INOXIDÁVEL  AISI 304, COM ESPELHO 10CM, BORDAS DE ESTANQUEIDADE E VIROLA 2,5 CM (CHAPA 1000X3000MM)</t>
  </si>
  <si>
    <t>CUBA AÇO INOXIDÁVEL AISI 304 52X40X23 CM</t>
  </si>
  <si>
    <t>CONCRETO MAGRO 1:4,5:4,5 (CIMENTO, AREIA, PEDRISCO)</t>
  </si>
  <si>
    <t>SOLDA DE TOPO EM CHAPA/TUBO DE AÇO CHANFRADO</t>
  </si>
  <si>
    <t>CUBA AÇO INOXIDÁVEL AISI 304 75X55X45 CM</t>
  </si>
  <si>
    <t>CUBA AÇO INOXIDÁVEL AISI 304 52X40X40 CM</t>
  </si>
  <si>
    <t>Torneira cromada de mesa, com filtro, para pia de cozinha, ref.1140 - Twin, Deca ou equivalente</t>
  </si>
  <si>
    <t>Barra de apoio, para vaso sanitário, angular, 90º, piso-parede, direita ou esquerda, em aço inox, l=75+75cm, d=1 1/2", Jackwal ou equivalente</t>
  </si>
  <si>
    <t>RAMPA DE ACESSO DESTINADA A PNE, REVESTIDA COM PISO PODOTÁTIL DE ALERTA/ LADRILHO HIDRÁLICO 25X25CM</t>
  </si>
  <si>
    <t>PISO PODOTÁTIL DE ALERTA</t>
  </si>
  <si>
    <t>ESPAÇADOR PLASTICO</t>
  </si>
  <si>
    <t>GUIA PREMOLDADA DE CONCRETO 0,15X0,30X1,00M</t>
  </si>
  <si>
    <t>ARGAMASSA MISTA DE CIMENTO E AREIA, TRAÇO 1:1:4</t>
  </si>
  <si>
    <t>TELA DE AÇO CA60 Q92 D=4.2MM, MALHA 15X15CM</t>
  </si>
  <si>
    <t>ARMADOR</t>
  </si>
  <si>
    <t>LADRILHISTA</t>
  </si>
  <si>
    <t>PEDREIRO</t>
  </si>
  <si>
    <t>SERVENTE DE ELETRICISTA COM ENCARGOS COMPLEMENTARES</t>
  </si>
  <si>
    <t>LUMINÁRIAS TIPO CALHA, DE SOBREPOR, COM REATORES DE PARTIDA RÁPIDA E LÂMPADAS FLUORESCENTES 2X36W, COMPLETAS, FORNECIMENTO E INSTALAÇÃO</t>
  </si>
  <si>
    <t>07.02.000</t>
  </si>
  <si>
    <t>Ar Condicionado</t>
  </si>
  <si>
    <t>07.02.300</t>
  </si>
  <si>
    <t>Rede de Dutos</t>
  </si>
  <si>
    <t>97332U</t>
  </si>
  <si>
    <t>TUBO EM COBRE FLEXÍVEL, DN 3/8", COM ISOLAMENTO, INSTALADO EM RAMAL DE ALIMENTAÇÃO DE AR CONDICIONADO COM CONDENSADORA CENTRAL ? FORNECIMENTO E INSTALAÇÃO. AF_12/2015</t>
  </si>
  <si>
    <t>97334U</t>
  </si>
  <si>
    <t>TUBO EM COBRE FLEXÍVEL, DN 5/8", COM ISOLAMENTO, INSTALADO EM RAMAL DE ALIMENTAÇÃO DE AR CONDICIONADO COM CONDENSADORA CENTRAL FORNECIMENTO E INSTALAÇÃO. AF_12/2015</t>
  </si>
  <si>
    <t>TOTAL DO ITEM 07.02.000</t>
  </si>
  <si>
    <t xml:space="preserve">Ponto de consumo de gás combustível </t>
  </si>
  <si>
    <t>AJUDANTE DE ENCANADOR COM ENCARGOS COMPLEMENTARES</t>
  </si>
  <si>
    <t>ENCANADOR COM ENCARGOS COMPLEMENTARES</t>
  </si>
  <si>
    <t>ADAPTADOR FIXO ROSCA MACHO PEX GÁS D=32MM X 1"</t>
  </si>
  <si>
    <t>JOELHO 90° ROSCA FEMEA PEX GÁS D=32MM</t>
  </si>
  <si>
    <t>LUVA PEX GÁS D=32MM</t>
  </si>
  <si>
    <t>VÁLVULA DE SEGURANÇA HORIZONTAL DE FLUXO/TÉRMICA PEX GÁS</t>
  </si>
  <si>
    <t>2. É de inteira responsabilidade da licitante proponente o levantamento e quantificação dos materiais/serviços dos projetos, bem como, os custos necessários à execução do objeto do Edital.</t>
  </si>
  <si>
    <t>Torneira de mesa, linha Decamatic Eco, ref.1173.C, DECA ou equivalente</t>
  </si>
  <si>
    <t>COMPOSIÇÕES DE PREÇOS UNITÁRIOS</t>
  </si>
  <si>
    <t>OBSERVAÇÕES:</t>
  </si>
  <si>
    <t>RALO LINEAR AÇO INOXIDÁVEL 430, 3,5x6x100CM, ACABAMENTO POLIDO</t>
  </si>
  <si>
    <t>05.03.300.11U</t>
  </si>
  <si>
    <t>Ralo linear em aço inox 430, 8,4x100cm, acabamento polido</t>
  </si>
  <si>
    <t>0,050000</t>
  </si>
  <si>
    <t>0,070000</t>
  </si>
  <si>
    <t>0,250000</t>
  </si>
  <si>
    <t>SISTEMA DE RETENÇÃO DE ÁGUAS PLUVIAIS, CAPACIDADE= 160 M3</t>
  </si>
  <si>
    <t>ADAPTADOR PVC SOLDAVEL, COM FLANGES E ANEL DE VEDACAO, 60 MM X 2", PARA CAIXA D AGUA</t>
  </si>
  <si>
    <t>BOMBA SUBMERSIVEL, ELETRICA, TRIFASICA, POTENCIA 0,99 HP, DIAMETRO ROTOR 98 MM SEMIABERTO, BOCAL DE SAIDA DIAMETRO 2 POLEGADAS, HM/Q = 2 M / 28,90 M3/H A 14 M / 7 M3/H</t>
  </si>
  <si>
    <t>TORNEIRA DE BOIA CONVENCIONAL PARA CAIXA DAGUA, 2", COM HASTE E TORNEIRA METALICOS E BALAO PLASTICO</t>
  </si>
  <si>
    <t>0,450000</t>
  </si>
  <si>
    <t>7.168,000000</t>
  </si>
  <si>
    <t>96525U</t>
  </si>
  <si>
    <t>ESCAVAÇÃO MECANIZADA PARA VIGA BALDRAME, COM PREVISÃO DE FÔRMA, COM MINI-ESCAVADEIRA. AF_06/2017</t>
  </si>
  <si>
    <t>TUBO PVC, SOLDAVEL, DN 110 MM, AGUA FRIA (NBR-5648)</t>
  </si>
  <si>
    <t>TRINCHEIRA FILTRANTE 2,15 X 0,85 M</t>
  </si>
  <si>
    <t>0,560000</t>
  </si>
  <si>
    <t>TUBO DRENO, CORRUGADO, ESPIRALADO, FLEXIVEL, PERFURADO, EM POLIETILENO DE ALTA DENSIDADE (PEAD), DN *160* MM, (6") PARA DRENAGEM - EM BARRA (NORMA DNIT 093/2006 - EM)</t>
  </si>
  <si>
    <t>0,750000</t>
  </si>
  <si>
    <t>PONTO DE INSPEÇÃO DE TRINCHEIRA FILTRANTE DN=0,78M</t>
  </si>
  <si>
    <t>0,160000</t>
  </si>
  <si>
    <t>Formas de tábuas de pinho para dispositivos de drenagem - utilização de 3 vezes - confecção, instalação e retirada</t>
  </si>
  <si>
    <t>0,800000</t>
  </si>
  <si>
    <t>CAIXA DE GORDURA EM PVC, DIAMETRO MINIMO 300 MM, DIAMETRO DE SAIDA 100 MM, CAPACIDADE APROXIMADA 18 LITROS, COM TAMPA</t>
  </si>
  <si>
    <t>0,500000</t>
  </si>
  <si>
    <t>ARMAÇÃO DE LAJES DE CONCRETO EXECUTADA EM TELA Q-92.</t>
  </si>
  <si>
    <t>Canaleta para águas pluviais em concreto moldado in-loco 0,9 x 0,4 m</t>
  </si>
  <si>
    <t>Ajudante de carpinteiro</t>
  </si>
  <si>
    <t>0,530000</t>
  </si>
  <si>
    <t>0,090000</t>
  </si>
  <si>
    <t>0,260000</t>
  </si>
  <si>
    <t>GRELHA EM FERRO FUNDIDO SIMPLES COM REQUADRO, CARGA MÁXIMA 12,5 T, 300 X 1000 MM, E = 15 MM, FORNECIDA E ASSENTADA COM ARGAMASSA 1:4 CIMENTO:AREIA.</t>
  </si>
  <si>
    <t>GRELHA FOFO SIMPLES COM REQUADRO, CARGA MAXIMA 12,5 T, *300 X 1000* MM, E= *15* MM, AREA ESTACIONAMENTO CARRO PASSEIO</t>
  </si>
  <si>
    <t>0,008000</t>
  </si>
  <si>
    <t>73788/2U</t>
  </si>
  <si>
    <t>GRADE DE MADEIRA PARA PROTEÇÃO DE MUDAS DE ARVORE</t>
  </si>
  <si>
    <t>98511U</t>
  </si>
  <si>
    <t>PLANTIO DE ÁRVORE ORNAMENTAL COM ALTURA DE MUDA MAIOR QUE 2,00 M E MENOR OU IGUAL A 4,00 M. AF_05/2018</t>
  </si>
  <si>
    <t>Bandeja em chapa de aço galvanizado liso # 18 MSG, tipo "U", largura 500 mm x altura 50 mm, instalação superior</t>
  </si>
  <si>
    <t>CHAPA DE ACO FINA A QUENTE BITOLA MSG 18, E = 1,20 MM (9,60 KG/M2)</t>
  </si>
  <si>
    <t xml:space="preserve">Lâmpada tubular LED T8 120cm 4000K 1850 LM 18W </t>
  </si>
  <si>
    <t>REATOR ELETRONICO BIVOLT PARA 1 LAMPADA FLUORESCENTE DE 18/20 W</t>
  </si>
  <si>
    <t>SOQUETE DE BAQUELITE BASE E27, PARA LAMPADAS</t>
  </si>
  <si>
    <t>LAMPADA FLUORESCENTE TUBULAR T8 DE 16/18 W, BIVOLT</t>
  </si>
  <si>
    <t>ABRACADEIRA EM ACO PARA AMARRACAO DE ELETRODUTOS, TIPO D, COM 1 1/2" E PARAFUSO DE FIXACAO</t>
  </si>
  <si>
    <t>Composição 01.01.000.001</t>
  </si>
  <si>
    <t>Ajudante especializado</t>
  </si>
  <si>
    <t>Composição 02.01.200.001</t>
  </si>
  <si>
    <t>Auxiliar de encanador</t>
  </si>
  <si>
    <t>Tijolo cerâmico comum para alvenaria 5 x 10 x 20 cm</t>
  </si>
  <si>
    <t>Hidrômetro unijato para medição em entrada de água residencial Ø 3/4" vazão 5 m³/h</t>
  </si>
  <si>
    <t xml:space="preserve">Mictório sifonado de louça branca </t>
  </si>
  <si>
    <t>Prego dde aço com cabeça 15 x 15</t>
  </si>
  <si>
    <t>Composição 02.01.200.002</t>
  </si>
  <si>
    <t>Composição 02.01.200.003</t>
  </si>
  <si>
    <t>Caminhão basculante 6 m³ 185 hp - 136 kW, 4 x 2</t>
  </si>
  <si>
    <t>Composição 02.01.200.004</t>
  </si>
  <si>
    <t>Tubo de polietileno de alta densidade PE80 Ø externo 63 mm, classe de pressão 10 kgf/cm²</t>
  </si>
  <si>
    <t>Cavalete com tubo de aço galvanizado 32 mm - 3/4"</t>
  </si>
  <si>
    <t>Composição 02.04.000.001</t>
  </si>
  <si>
    <t>Composição  02.04.000.002</t>
  </si>
  <si>
    <t>Composição 03.01.427.001</t>
  </si>
  <si>
    <t>Composição 03.01.427.002</t>
  </si>
  <si>
    <t>Composição  03.01.427.003</t>
  </si>
  <si>
    <t>Composição 03.01.427.004</t>
  </si>
  <si>
    <t>Composição  03.01.427.005</t>
  </si>
  <si>
    <t>Composição 03.01.504.001</t>
  </si>
  <si>
    <t>Composição 03.02.123.001</t>
  </si>
  <si>
    <t>Composição 03.02.134.001</t>
  </si>
  <si>
    <t xml:space="preserve">Concreto usinado dosado em central C25 </t>
  </si>
  <si>
    <t>Tela de aço CA-60 soldada Q 92, Ø 4,20 mm, malha 15 x 15 cm, 1,48 kg/m²</t>
  </si>
  <si>
    <t>Composição 03.02.134.002</t>
  </si>
  <si>
    <t>Composição 03.02.173.001</t>
  </si>
  <si>
    <t>Composição  03.02.430.001</t>
  </si>
  <si>
    <t>Composição  03.02.430.002</t>
  </si>
  <si>
    <t>Composição 03.03.100.001</t>
  </si>
  <si>
    <t>ESTRUTURA METALICA EM ACO ESTRUTURAL PERFIL "I" 6"X3.3/8"</t>
  </si>
  <si>
    <t>Composição 03.03.100.002</t>
  </si>
  <si>
    <t>Composição 04.01.104.001</t>
  </si>
  <si>
    <t xml:space="preserve">Argamassa traço 1:1:6 mista de cimento, cal e areia </t>
  </si>
  <si>
    <t>Composição  04.01.114.001</t>
  </si>
  <si>
    <t>Composição  04.01.114.002</t>
  </si>
  <si>
    <t>Composição 04.01.120.001</t>
  </si>
  <si>
    <t>Composição 04.01.201.001</t>
  </si>
  <si>
    <t>Porta Metálica de abrir, com perfis estruturantes e caixilhos de aço, fechamento em chapa fina dobrada</t>
  </si>
  <si>
    <t>Composição 04.01.201.002</t>
  </si>
  <si>
    <t>Porta Metálica de abrir, com perfis estruturantes e caixilhos de aço, fechamento em chapa fina dobrada, com isolamento acústico</t>
  </si>
  <si>
    <t>Composição 04.01.201.003</t>
  </si>
  <si>
    <t>Composição 04.01.201.004</t>
  </si>
  <si>
    <t>ALCAPAO EM FERRO 60X60CM, INCLUSO FERRAGENS</t>
  </si>
  <si>
    <t>Composição 04.01.204.001</t>
  </si>
  <si>
    <t>TABUA DE MADEIRA NAO APARELHADA 2,5x20 CM</t>
  </si>
  <si>
    <t>Composição 04.01.211.001</t>
  </si>
  <si>
    <t>Composição 04.01.211.002</t>
  </si>
  <si>
    <t>Composição 04.01.211.003</t>
  </si>
  <si>
    <t>Composição 04.01.211.004</t>
  </si>
  <si>
    <t>04.01.211.005</t>
  </si>
  <si>
    <t>Composição 04.01.211.006</t>
  </si>
  <si>
    <t>Composição 04.01.211.007</t>
  </si>
  <si>
    <t>Composição 04.01.211.008</t>
  </si>
  <si>
    <t>Composição 04.01.211.009</t>
  </si>
  <si>
    <t>Composição 04.01.211.010</t>
  </si>
  <si>
    <t>Composição 04.01.211.011</t>
  </si>
  <si>
    <t>Compposição 04.01.211.012</t>
  </si>
  <si>
    <t>Composição 04.01.211.013</t>
  </si>
  <si>
    <t>Composição 04.01.211.014</t>
  </si>
  <si>
    <t>Composição 04.01.211.015</t>
  </si>
  <si>
    <t>Composição 04.01.211.016</t>
  </si>
  <si>
    <t>Composição 04.01.211.017</t>
  </si>
  <si>
    <t>Composição 04.01.212.001</t>
  </si>
  <si>
    <t>Composição 04.01.212.002</t>
  </si>
  <si>
    <t>Composição 04.01.212.003</t>
  </si>
  <si>
    <t>Composição 04.01.212.004</t>
  </si>
  <si>
    <t>Composição 04.01.213.001</t>
  </si>
  <si>
    <t xml:space="preserve">ORSE -3544 </t>
  </si>
  <si>
    <t>ARAME GALVANIZADO 12 BWG, D=3,4 MM (0,0713 KG/M)</t>
  </si>
  <si>
    <t>Composição 04.01.213.002</t>
  </si>
  <si>
    <t>Composição 04.01.241.001</t>
  </si>
  <si>
    <t>Composição 04.01.241.002</t>
  </si>
  <si>
    <t>Composição 04.01.250.003</t>
  </si>
  <si>
    <t>04.01.250</t>
  </si>
  <si>
    <t>Composição  04.01.303.001</t>
  </si>
  <si>
    <t>Composição  04.01.303.002</t>
  </si>
  <si>
    <t>Composição  04.01.303.003</t>
  </si>
  <si>
    <t>Composição 04.01.311.001</t>
  </si>
  <si>
    <t>Composição 04.01.417.001</t>
  </si>
  <si>
    <t>Composição 04.01.510.001</t>
  </si>
  <si>
    <t>Composição 04.01.530.001</t>
  </si>
  <si>
    <t>Composição 04.01.560.001</t>
  </si>
  <si>
    <t>Composição  04.01.560.002</t>
  </si>
  <si>
    <t>Composição  04.01.560.003</t>
  </si>
  <si>
    <t>Composição 04.01.580.001</t>
  </si>
  <si>
    <t>ORSE -01973</t>
  </si>
  <si>
    <t>Composição 04.01.600.001</t>
  </si>
  <si>
    <t>Composição 04.01.600.002</t>
  </si>
  <si>
    <t>Impermeabilizador</t>
  </si>
  <si>
    <t>Composição 04.01.600.003</t>
  </si>
  <si>
    <t>Composição 04.01.600.004</t>
  </si>
  <si>
    <t>Composição 04.01.600.005</t>
  </si>
  <si>
    <t>Composição 04.01.600.006</t>
  </si>
  <si>
    <t>Impermeabilização com manta asfáltica, uma camada e=3mm, inclusive primer asfáltico</t>
  </si>
  <si>
    <t>Cimento CPII-32</t>
  </si>
  <si>
    <t xml:space="preserve">Papel kraft betumado </t>
  </si>
  <si>
    <t>Composição 04.01.701.001</t>
  </si>
  <si>
    <t>Composição 04.01.703.001</t>
  </si>
  <si>
    <t>Composição 04.01.703.002</t>
  </si>
  <si>
    <t>Composição 04.01.800.001</t>
  </si>
  <si>
    <t>BANCADA DE SANITÁRIOS EM GRANITO CINZA POLIDO PARA LAVATÓRIO, LARGURA = 50CM, ESPELHO E FRONTISPÍCIO = 12CM, EXCETO CUBA</t>
  </si>
  <si>
    <t>Composição 04.01.800.002</t>
  </si>
  <si>
    <t>Composição 04.01.800.003</t>
  </si>
  <si>
    <t>Composição 04.01.800.004</t>
  </si>
  <si>
    <t>Composição 04.01.800.005</t>
  </si>
  <si>
    <t>Composição 04.01.800.006</t>
  </si>
  <si>
    <t>Composição 04.01.800.007</t>
  </si>
  <si>
    <t>Composição 04.05.102.001</t>
  </si>
  <si>
    <t>Composição  04.05.610.001</t>
  </si>
  <si>
    <t>PEDRA BRITA N.1</t>
  </si>
  <si>
    <t>CIMENTO CPII 32</t>
  </si>
  <si>
    <t>ARAME RECOZIDO 16 BWG</t>
  </si>
  <si>
    <t xml:space="preserve">SERVENTE </t>
  </si>
  <si>
    <t>Composição 05.01.200.001</t>
  </si>
  <si>
    <t>Composição 05.01.200.002</t>
  </si>
  <si>
    <t>Composição 05.01.200.003</t>
  </si>
  <si>
    <t>Composição 05.01.200.004</t>
  </si>
  <si>
    <t>Composição 05.01.500.001</t>
  </si>
  <si>
    <t>Fita de vedação para tubos e conexões, rolo de 50 m x 18 mm</t>
  </si>
  <si>
    <t>Válula em metal cromado para lavatório Ø 1"</t>
  </si>
  <si>
    <t>15.003.000016.MAT</t>
  </si>
  <si>
    <t>Sifão em metal cromado para lavatório Ø 1" x 1 1/2"</t>
  </si>
  <si>
    <t>Misturador cromado de mesa bica para lavatório</t>
  </si>
  <si>
    <t>Composição 05.01.500.002</t>
  </si>
  <si>
    <t>Composição  05.01.600.001</t>
  </si>
  <si>
    <t>AJUDANTE ESPECIALIZADO</t>
  </si>
  <si>
    <t>Composição  05.03.300.001</t>
  </si>
  <si>
    <t>Composição 05.03.300.002</t>
  </si>
  <si>
    <t>Composição 05.03.300.003</t>
  </si>
  <si>
    <t>Composição 05.03.900.001</t>
  </si>
  <si>
    <t>Composição 05.03.900.002</t>
  </si>
  <si>
    <t>Caixa d'agua fibra de vidro para 10.000 litros, com tampa</t>
  </si>
  <si>
    <t>Cola branca base PVA</t>
  </si>
  <si>
    <t>101618U</t>
  </si>
  <si>
    <t>PREPARO DE FUNDO, COM LARGURA MENOR QUE 1,5 M, COM CAMADA DE AREIA, LANÇAMENTO MANUAL, AF_08/2020</t>
  </si>
  <si>
    <t>Composição 05.03.900.003</t>
  </si>
  <si>
    <t>Composição 05.03.900.004</t>
  </si>
  <si>
    <t>94965U</t>
  </si>
  <si>
    <t>Concreto fck = 25 MPa - preparo  em betoneira 400 l, lançamento manual - traço 1:2,3:2,7 (cimento/areia média/brita 1)</t>
  </si>
  <si>
    <t>Composição 05.03.900.005</t>
  </si>
  <si>
    <t>94964U</t>
  </si>
  <si>
    <t>Concreto fck=20MPa, traço 1:2,7:3 (cimento/areia média/brita1) preparo em betoneira 400 l</t>
  </si>
  <si>
    <t>Chapa de madeira compensada resinada 1,10 x 2,20 m # 14 mm</t>
  </si>
  <si>
    <t>Sarrafo 2,5 x 5,0 cm em pinus, mista ou equivalente da região</t>
  </si>
  <si>
    <t>Prego de aço com cabeça 16 x 24 (2 1/4 x 12)</t>
  </si>
  <si>
    <t>Composição 05.03.900.006</t>
  </si>
  <si>
    <t>Composição 05.04.300.001</t>
  </si>
  <si>
    <t>Composição  05.04.300.002</t>
  </si>
  <si>
    <t>Composição  05.04.800.001</t>
  </si>
  <si>
    <t>Composição 06.01.100.001</t>
  </si>
  <si>
    <t>Composição 06.01.104.001</t>
  </si>
  <si>
    <t>Composição 06.01.301.001</t>
  </si>
  <si>
    <t>3622/ORSE</t>
  </si>
  <si>
    <t>DISJUNTOR TERMOMAGNETICO TRIPOLAR  600A / 600V, TIPO JXD / ICC - 40KA</t>
  </si>
  <si>
    <t>Composição 06.01.302.001</t>
  </si>
  <si>
    <t>Composição 06.01.302.002</t>
  </si>
  <si>
    <t>QUADRO DE DISTRIBUICAO COM BARRAMENTO TRIFÁSICO, DE EMBUTIR, EM CHAPA DE AÇO GALVANIZADO, PARA 18 DISJUNTORES DIN 100 A</t>
  </si>
  <si>
    <t>Composição 06.01.302.003</t>
  </si>
  <si>
    <t>QUADRO DE DISTRIBUICAO COM BARRAMENTO TRIFASICO, DE EMBUTIR, EM CHAPA DE AÇO GALVANIZADO, PARA 24 DISJUNTORES DIN, 100 A</t>
  </si>
  <si>
    <t>Composição 06.01.302.004</t>
  </si>
  <si>
    <t>Composição 06.01.302.005</t>
  </si>
  <si>
    <t>Composição 06.01.302.006</t>
  </si>
  <si>
    <t>QUADRO DE DISTRIBUICAO COM BARRAMENTO TRIFÁSICO, DE EMBUTIR, EM CHAPA DE AÇO GALVANIZADO, PARA 32 DISJUNTORES DIN 225 A</t>
  </si>
  <si>
    <t>Composição 06.01.302.007</t>
  </si>
  <si>
    <t>Composição 06.01.302.008</t>
  </si>
  <si>
    <t>Composição  06.01.306.001</t>
  </si>
  <si>
    <t>Composição 06.01.309.001</t>
  </si>
  <si>
    <t>Porca zincada, sextavada Ø 1/4"</t>
  </si>
  <si>
    <t>Arruela lisa zincada Ø 1/4"</t>
  </si>
  <si>
    <t>08955/ORSE</t>
  </si>
  <si>
    <t>Suporte vertical para eletrocalha 75 x 50 mm largura x aba</t>
  </si>
  <si>
    <t>13354/ORSE</t>
  </si>
  <si>
    <t>Tampa de encaixe para eletrocalha aço galvanizado perfurada ou lisa, 75 mm x 3000 mm</t>
  </si>
  <si>
    <t>06905/ORSE</t>
  </si>
  <si>
    <t>Composição 06.01.309.002</t>
  </si>
  <si>
    <t>04112/ORSE</t>
  </si>
  <si>
    <t>03989/ORSE</t>
  </si>
  <si>
    <t>Tampa de encaixe para eletrocalha aço galvanizado perfurada ou lisa, 50 mm x 3000 mm</t>
  </si>
  <si>
    <t>Composição 06.01.309.003</t>
  </si>
  <si>
    <t>13400/ORSE</t>
  </si>
  <si>
    <t>Tampa de encaixe para eletrocalha aço galvanizado perfurada ou lisa, 100 mm x 3000 mm</t>
  </si>
  <si>
    <t>Composição 06.01.309.004</t>
  </si>
  <si>
    <t>03639/ORSE</t>
  </si>
  <si>
    <t>13406/ORSE</t>
  </si>
  <si>
    <t>Tampa de encaixe para eletrocalha aço galvanizado perfurada ou lisa, 150 mm x 3000 mm</t>
  </si>
  <si>
    <t>Composição 06.01.309.005</t>
  </si>
  <si>
    <t>Composição 06.01.401.001</t>
  </si>
  <si>
    <t>Luminária de sobrepor em chapa de aço para 2 lâmpadas de 36W, com aletas, completa (lâmpadas e reator incluso)</t>
  </si>
  <si>
    <t>Composição 06.01.401.002</t>
  </si>
  <si>
    <t>Composição 06.01.401.003</t>
  </si>
  <si>
    <t>Composição 06.01.401.004</t>
  </si>
  <si>
    <t>Composição 06.01.401.005</t>
  </si>
  <si>
    <t>HASTE DE ATERRAMENTO EM ACO COM 3,00 M DE COMPRIMENTO E DN = 5/8", REVESTIDA COM BAIXA CAMADA DE COBRE, SEM CONECTOR</t>
  </si>
  <si>
    <t>Composição 06.02.100.001</t>
  </si>
  <si>
    <t>Caixa de passagem/luz/telofonia, de embutir em chapa de aço galvanizado, dimensões 200 x 200 x 20 cm,</t>
  </si>
  <si>
    <t>Composição 06.02.100.002</t>
  </si>
  <si>
    <t>ARAME RECOZIDO 18 BWG, 1,24 MM (0,009 KG/M)</t>
  </si>
  <si>
    <t>MONTAGEM E DESMONTAGEM DE FÔRMA DE PILARES RETANGULARES E ESTRUTURAS SIMILARES, PÉ-DIREITO SIMPLES, EM MADEIRA SERRADA, 2 UTILIZAÇÕES. AF_12/2015</t>
  </si>
  <si>
    <t>Composição 06.02.100.003</t>
  </si>
  <si>
    <t>Composição 06.02.300.001</t>
  </si>
  <si>
    <t>03637/ORSE</t>
  </si>
  <si>
    <t>Tampa de encaixe para eletrocalha aço galvanizado perfurada ou lisa, 100 x 3000 mm</t>
  </si>
  <si>
    <t>Composição 06.02.300.002</t>
  </si>
  <si>
    <t>Composição 06.02.400.001</t>
  </si>
  <si>
    <t>Composição 06.03.100.001</t>
  </si>
  <si>
    <t>Caixa de passagem/ luz/ telefonia, de embutir, em chapa de aço galvanizado 60x60x12 cm, (padrão concessionária local)</t>
  </si>
  <si>
    <t>Composição 06.03.400.001</t>
  </si>
  <si>
    <t>Composição 06.03.400.002</t>
  </si>
  <si>
    <t>Composição 06.03.600.001</t>
  </si>
  <si>
    <t>Composição 07.07.000.001</t>
  </si>
  <si>
    <t>Pig Tail ou chicote flexível de cobre, B-190, para condução de gás</t>
  </si>
  <si>
    <t>Composição 07.07.000.002</t>
  </si>
  <si>
    <t>Composição 07.07.000.003</t>
  </si>
  <si>
    <t>Composição 08.01.200.001</t>
  </si>
  <si>
    <t>Composição 08.01.200.002</t>
  </si>
  <si>
    <t>Composição 08.01.200.003</t>
  </si>
  <si>
    <t>Composição 08.01.200.004</t>
  </si>
  <si>
    <t>JOELHO 90º, FERRO  GALVANIZADO 6" - FORNECIMENTO E INSTALAÇÃO</t>
  </si>
  <si>
    <t>FITA VEDA ROSCA EM ROLOS DE 18MM X 50M</t>
  </si>
  <si>
    <t>FUNDO ANTICORROSIVO (ZARCÃO)</t>
  </si>
  <si>
    <t>Composição 08.01.510.001</t>
  </si>
  <si>
    <t>Composição 08.01.519.001</t>
  </si>
  <si>
    <t>Composição 08.01.519.002</t>
  </si>
  <si>
    <t>Composição 08.01.519.003</t>
  </si>
  <si>
    <t>Composição 08.01.519.004</t>
  </si>
  <si>
    <t>Composição 09.06.000.001</t>
  </si>
  <si>
    <t>Composição  09.06.000.002</t>
  </si>
  <si>
    <t>08978/ORSE</t>
  </si>
  <si>
    <t>Água - consumo em volume</t>
  </si>
  <si>
    <t>Composição 09.03.000.001</t>
  </si>
  <si>
    <t>Fita veda rosca em rolos de 18 mm x 50 m</t>
  </si>
  <si>
    <t>Composição  10.04.000.001</t>
  </si>
  <si>
    <t>03.01.427.002</t>
  </si>
  <si>
    <t>Composição 02.04.000.002</t>
  </si>
  <si>
    <t xml:space="preserve">5502172 - SICRO </t>
  </si>
  <si>
    <t>Composição 03.01.427.003</t>
  </si>
  <si>
    <t>Composição 03.01.427.005</t>
  </si>
  <si>
    <t>Composição 03.02.430.001</t>
  </si>
  <si>
    <t>Composição 03.02.430.002</t>
  </si>
  <si>
    <t>Composição 04.01.114.001</t>
  </si>
  <si>
    <t>Composição 04.01.114.002</t>
  </si>
  <si>
    <t>Composição 04.01.211.005</t>
  </si>
  <si>
    <t>Composição 04.01.211.012</t>
  </si>
  <si>
    <t>Composição 04.01.241.003</t>
  </si>
  <si>
    <t>Composição 04.01.303.001</t>
  </si>
  <si>
    <t>Composição 04.01.303.002</t>
  </si>
  <si>
    <t>Composição 04.01.303.003</t>
  </si>
  <si>
    <t>Composição 04.01.560.002</t>
  </si>
  <si>
    <t>Composição 04.01.560.003</t>
  </si>
  <si>
    <t>5502172 - SICRO</t>
  </si>
  <si>
    <t>4011276 - SICRO</t>
  </si>
  <si>
    <t>Composição 04.05.610.001</t>
  </si>
  <si>
    <t>5213408 - SICRO</t>
  </si>
  <si>
    <t>5213435 - SICRO</t>
  </si>
  <si>
    <t>5214003 - SICRO</t>
  </si>
  <si>
    <t>Composição 005.01.500.001</t>
  </si>
  <si>
    <t>Composição 005.01.500.002</t>
  </si>
  <si>
    <t>Composição 05.01.600.001</t>
  </si>
  <si>
    <t>Composição 05.03.300.001</t>
  </si>
  <si>
    <t>Composição 05.04.300.002</t>
  </si>
  <si>
    <t>Composição 05.04.800.001</t>
  </si>
  <si>
    <t>Composição 06.01.306.001</t>
  </si>
  <si>
    <t>Composição 06.01.404.001</t>
  </si>
  <si>
    <t>Composição 06.01.500.001</t>
  </si>
  <si>
    <t>Composição 06.01.500.002</t>
  </si>
  <si>
    <t>09298/ORSE</t>
  </si>
  <si>
    <t>Cabo coaxial rgc 75 ohms</t>
  </si>
  <si>
    <t>Composição 08.01.200.005</t>
  </si>
  <si>
    <t>Composição 09.06.000.002</t>
  </si>
  <si>
    <t>02450/ORSE</t>
  </si>
  <si>
    <t>Composição 10.04.000.001</t>
  </si>
  <si>
    <t>92423U</t>
  </si>
  <si>
    <t>101980U</t>
  </si>
  <si>
    <t>101747U</t>
  </si>
  <si>
    <t>PISO EM CONCRETO 20 MPA PREPARO MECÂNICO, ESPESSURA 7 CM</t>
  </si>
  <si>
    <t>102215U</t>
  </si>
  <si>
    <t>PINTURA COM VERNIZ (INCOLOR) POLIURETÂNICO , 2 DEMAOS</t>
  </si>
  <si>
    <t>100576U</t>
  </si>
  <si>
    <t>Chuveiro elétrico jet master (Lorenzetti ou similar), 220 V- 5400 W</t>
  </si>
  <si>
    <t>102137U</t>
  </si>
  <si>
    <t>90694U</t>
  </si>
  <si>
    <t>90695U</t>
  </si>
  <si>
    <t>90696U</t>
  </si>
  <si>
    <t>90697U</t>
  </si>
  <si>
    <t>TUBO DE PVC PARA REDE COLETORA DE ESGOTO DE PAREDE MACIÇA, DN 100 MM, JUNTA ELÁSTICA,  FORNECIMENTO E ASSENTAMENTO. AF_06/2015</t>
  </si>
  <si>
    <t>TUBO DE PVC PARA REDE COLETORA DE ESGOTO DE PAREDE MACIÇA, DN 150 MM, JUNTA ELÁSTICA,  FORNECIMENTO E ASSENTAMENTO. AF_06/2015</t>
  </si>
  <si>
    <t>TUBO DE PVC PARA REDE COLETORA DE ESGOTO DE PAREDE MACIÇA, DN 200 MM, JUNTA ELÁSTICA,  FORNECIMENTO E ASSENTAMENTO. AF_06/2015</t>
  </si>
  <si>
    <t>TUBO DE PVC PARA REDE COLETORA DE ESGOTO DE PAREDE MACIÇA, DN 250 MM, JUNTA ELÁSTICA,  FORNECIMENTO E ASSENTAMENTO. AF_06/2015</t>
  </si>
  <si>
    <t>101799U</t>
  </si>
  <si>
    <t>101798U</t>
  </si>
  <si>
    <t>100561U</t>
  </si>
  <si>
    <t>100560U</t>
  </si>
  <si>
    <t>97535U</t>
  </si>
  <si>
    <t>101916U</t>
  </si>
  <si>
    <t>101909U</t>
  </si>
  <si>
    <t>101917U</t>
  </si>
  <si>
    <t>GOVERNO DO DISTRITO FEDERAL</t>
  </si>
  <si>
    <t>BDI EDIFICAÇÕES</t>
  </si>
  <si>
    <t>SECRETARIA DE ESTADO DE EDUCAÇÃO</t>
  </si>
  <si>
    <t>DIRETORIA DE ARQUITETURA</t>
  </si>
  <si>
    <t>OBRA: CENTRO EDUCACIONAL CRIXÁ</t>
  </si>
  <si>
    <t>LOCAL: Avenida Crixá, Lote 06, Bairro Crixá - São Sebastião / DF</t>
  </si>
  <si>
    <t>ÁREA CONSTRUÇÃO: 7.763,17 m²</t>
  </si>
  <si>
    <t>PLANILHA DE CUSTOS</t>
  </si>
  <si>
    <t>ITEM</t>
  </si>
  <si>
    <t>UNID.</t>
  </si>
  <si>
    <t>PREÇO UNIT (R$)</t>
  </si>
  <si>
    <t>PLANILHA ESTIMATIVA DOS SERVIÇOS (NÃO DESONERADO)</t>
  </si>
  <si>
    <t>02.01.101</t>
  </si>
  <si>
    <t>02.01.102</t>
  </si>
  <si>
    <t>02.01.103</t>
  </si>
  <si>
    <t>02.01.104</t>
  </si>
  <si>
    <t>02.01.105</t>
  </si>
  <si>
    <t>02.01.106</t>
  </si>
  <si>
    <t>02.01.107</t>
  </si>
  <si>
    <t>02.01.108</t>
  </si>
  <si>
    <t>02.01.109</t>
  </si>
  <si>
    <t>02.01.201</t>
  </si>
  <si>
    <t>02.01.202</t>
  </si>
  <si>
    <t>02.01.203</t>
  </si>
  <si>
    <t>02.01.204</t>
  </si>
  <si>
    <t>02.01.401</t>
  </si>
  <si>
    <t>02.01.402</t>
  </si>
  <si>
    <t>02.03.001</t>
  </si>
  <si>
    <t>02.04.001</t>
  </si>
  <si>
    <t>02.04.002</t>
  </si>
  <si>
    <t>02.04.003</t>
  </si>
  <si>
    <t>02.04.004</t>
  </si>
  <si>
    <t>02.04.005</t>
  </si>
  <si>
    <t>02.04.006</t>
  </si>
  <si>
    <t>03.01.427.001</t>
  </si>
  <si>
    <t>03.01.427.003</t>
  </si>
  <si>
    <t>03.01.427.004</t>
  </si>
  <si>
    <t>03.01.427.005</t>
  </si>
  <si>
    <t>03.01.427.006</t>
  </si>
  <si>
    <t>03.01.427.007</t>
  </si>
  <si>
    <t>03.01.427.008</t>
  </si>
  <si>
    <t>03.01.427.009</t>
  </si>
  <si>
    <t>03.01.427.010</t>
  </si>
  <si>
    <t>03.01.427.011</t>
  </si>
  <si>
    <t>03.01.480.001</t>
  </si>
  <si>
    <t>03.01.480.002</t>
  </si>
  <si>
    <t>03.01.480.003</t>
  </si>
  <si>
    <t>03.01.480.004</t>
  </si>
  <si>
    <t>03.01.501.001</t>
  </si>
  <si>
    <t>03.01.502.001</t>
  </si>
  <si>
    <t>03.01.502.002</t>
  </si>
  <si>
    <t>03.01.503.001</t>
  </si>
  <si>
    <t>03.01.503.002</t>
  </si>
  <si>
    <t>03.01.503.003</t>
  </si>
  <si>
    <t>03.01.503.004</t>
  </si>
  <si>
    <t>03.01.503.005</t>
  </si>
  <si>
    <t>03.01.503.006</t>
  </si>
  <si>
    <t>03.01.504.001</t>
  </si>
  <si>
    <t>03.01.600.001</t>
  </si>
  <si>
    <t>03.02.111.001</t>
  </si>
  <si>
    <t>03.02.112.001</t>
  </si>
  <si>
    <t>03.02.112.002</t>
  </si>
  <si>
    <t>03.02.112.003</t>
  </si>
  <si>
    <t>03.02.112.004</t>
  </si>
  <si>
    <t>03.02.112.005</t>
  </si>
  <si>
    <t>03.02.112.006</t>
  </si>
  <si>
    <t>03.02.113.001</t>
  </si>
  <si>
    <t>03.02.121.001</t>
  </si>
  <si>
    <t>03.02.122.001</t>
  </si>
  <si>
    <t>03.02.122.002</t>
  </si>
  <si>
    <t>03.02.122.003</t>
  </si>
  <si>
    <t>03.02.122.004</t>
  </si>
  <si>
    <t>03.02.122.005</t>
  </si>
  <si>
    <t>03.02.122.006</t>
  </si>
  <si>
    <t>03.02.122.007</t>
  </si>
  <si>
    <t>03.02.122.008</t>
  </si>
  <si>
    <t>03.02.123.001</t>
  </si>
  <si>
    <t>03.02.131.001</t>
  </si>
  <si>
    <t>03.02.132.001</t>
  </si>
  <si>
    <t>03.02.132.002</t>
  </si>
  <si>
    <t>03.02.133.001</t>
  </si>
  <si>
    <t>03.02.134.001</t>
  </si>
  <si>
    <t>03.02.134.002</t>
  </si>
  <si>
    <t>03.02.141.001</t>
  </si>
  <si>
    <t>03.02.142.001</t>
  </si>
  <si>
    <t>03.02.142.002</t>
  </si>
  <si>
    <t>03.02.142.003</t>
  </si>
  <si>
    <t>03.02.142.004</t>
  </si>
  <si>
    <t>03.02.143.001</t>
  </si>
  <si>
    <t>03.02.171.001</t>
  </si>
  <si>
    <t>03.02.171.002</t>
  </si>
  <si>
    <t>03.02.172.001</t>
  </si>
  <si>
    <t>03.02.172.002</t>
  </si>
  <si>
    <t>03.02.173.001</t>
  </si>
  <si>
    <t>03.02.181.001</t>
  </si>
  <si>
    <t>03.02.182.001</t>
  </si>
  <si>
    <t>03.02.182.002</t>
  </si>
  <si>
    <t>03.02.182.003</t>
  </si>
  <si>
    <t>03.02.183.001</t>
  </si>
  <si>
    <t>03.02.400.001</t>
  </si>
  <si>
    <t>03.02.400.002</t>
  </si>
  <si>
    <t>03.02.400.003</t>
  </si>
  <si>
    <t>03.02.400.004</t>
  </si>
  <si>
    <t>03.02.430.001</t>
  </si>
  <si>
    <t>03.02.430.002</t>
  </si>
  <si>
    <t>03.03.100.001</t>
  </si>
  <si>
    <t>03.03.100.002</t>
  </si>
  <si>
    <t>04.01.102.001</t>
  </si>
  <si>
    <t>04.01.102.002</t>
  </si>
  <si>
    <t>04.01.102.003</t>
  </si>
  <si>
    <t>04.01.102.004</t>
  </si>
  <si>
    <t>04.01.104.001</t>
  </si>
  <si>
    <t>04.01.114.001</t>
  </si>
  <si>
    <t>04.01.114.002</t>
  </si>
  <si>
    <t>04.01.120.001</t>
  </si>
  <si>
    <t>04.01.201.001</t>
  </si>
  <si>
    <t>04.01.201.002</t>
  </si>
  <si>
    <t>04.01.201.003</t>
  </si>
  <si>
    <t>04.01.201.004</t>
  </si>
  <si>
    <t>04.01.204.001</t>
  </si>
  <si>
    <t>04.01.208.001</t>
  </si>
  <si>
    <t>04.01.211.001</t>
  </si>
  <si>
    <t>04.01.211.002</t>
  </si>
  <si>
    <t>04.01.211.003</t>
  </si>
  <si>
    <t>04.01.211.004</t>
  </si>
  <si>
    <t>04.01.211.006</t>
  </si>
  <si>
    <t>04.01.211.007</t>
  </si>
  <si>
    <t>04.01.211.008</t>
  </si>
  <si>
    <t>04.01.211.009</t>
  </si>
  <si>
    <t>04.01.211.010</t>
  </si>
  <si>
    <t>04.01.211.011</t>
  </si>
  <si>
    <t>04.01.211.012</t>
  </si>
  <si>
    <t>04.01.211.013</t>
  </si>
  <si>
    <t>04.01.211.014</t>
  </si>
  <si>
    <t>04.01.211.015</t>
  </si>
  <si>
    <t>04.01.211.016</t>
  </si>
  <si>
    <t>04.01.211.017</t>
  </si>
  <si>
    <t>04.01.212.001</t>
  </si>
  <si>
    <t>04.01.212.002</t>
  </si>
  <si>
    <t>04.01.212.003</t>
  </si>
  <si>
    <t>04.01.212.004</t>
  </si>
  <si>
    <t>04.01.212.005</t>
  </si>
  <si>
    <t>04.01.212.006</t>
  </si>
  <si>
    <t>04.01.213.001</t>
  </si>
  <si>
    <t>04.01.213.002</t>
  </si>
  <si>
    <t>04.01.241.001</t>
  </si>
  <si>
    <t>04.01.241.002</t>
  </si>
  <si>
    <t>04.01.241.003</t>
  </si>
  <si>
    <t>04.01.303.001</t>
  </si>
  <si>
    <t>04.01.303.002</t>
  </si>
  <si>
    <t>04.01.303.003</t>
  </si>
  <si>
    <t>04.01.311.001</t>
  </si>
  <si>
    <t>04.01.410.001</t>
  </si>
  <si>
    <t>04.01.417.001</t>
  </si>
  <si>
    <t>04.01.510.001</t>
  </si>
  <si>
    <t>04.01.510.002</t>
  </si>
  <si>
    <t>04.01.510.003</t>
  </si>
  <si>
    <t>04.01.530.001</t>
  </si>
  <si>
    <t>04.01.530.002</t>
  </si>
  <si>
    <t>04.01.530.003</t>
  </si>
  <si>
    <t>04.01.530.004</t>
  </si>
  <si>
    <t>04.01.530.005</t>
  </si>
  <si>
    <t>04.01.530.006</t>
  </si>
  <si>
    <t>04.01.550.001</t>
  </si>
  <si>
    <t>04.01.550.002</t>
  </si>
  <si>
    <t>04.01.560.001</t>
  </si>
  <si>
    <t>04.01.560.002</t>
  </si>
  <si>
    <t>04.01.560.003</t>
  </si>
  <si>
    <t>04.01.560.004</t>
  </si>
  <si>
    <t>04.01.560.005</t>
  </si>
  <si>
    <t>04.01.560.006</t>
  </si>
  <si>
    <t>04.01.560.007</t>
  </si>
  <si>
    <t>04.01.560.008</t>
  </si>
  <si>
    <t>04.01.560.009</t>
  </si>
  <si>
    <t>04.01.580.001</t>
  </si>
  <si>
    <t>04.01.600.001</t>
  </si>
  <si>
    <t>04.01.600.002</t>
  </si>
  <si>
    <t>04.01.600.003</t>
  </si>
  <si>
    <t>04.01.600.004</t>
  </si>
  <si>
    <t>04.01.600.005</t>
  </si>
  <si>
    <t>04.01.600.006</t>
  </si>
  <si>
    <t>04.01.600.007</t>
  </si>
  <si>
    <t>04.01.600.008</t>
  </si>
  <si>
    <t>04.01.600.009</t>
  </si>
  <si>
    <t>04.01.600.010</t>
  </si>
  <si>
    <t>04.01.600.011</t>
  </si>
  <si>
    <t>04.01.600.012</t>
  </si>
  <si>
    <t>04.01.701.001</t>
  </si>
  <si>
    <t>04.01.702.001</t>
  </si>
  <si>
    <t>04.01.703.001</t>
  </si>
  <si>
    <t>04.01.703.002</t>
  </si>
  <si>
    <t>04.01.800.001</t>
  </si>
  <si>
    <t>04.01.800.002</t>
  </si>
  <si>
    <t>04.01.800.003</t>
  </si>
  <si>
    <t>04.01.800.004</t>
  </si>
  <si>
    <t>04.01.800.005</t>
  </si>
  <si>
    <t>04.01.800.006</t>
  </si>
  <si>
    <t>04.01.800.007</t>
  </si>
  <si>
    <t>04.02.000.001</t>
  </si>
  <si>
    <t>04.02.000.002</t>
  </si>
  <si>
    <t>04.02.000.003</t>
  </si>
  <si>
    <t>04.04.400.001</t>
  </si>
  <si>
    <t>04.04.400.002</t>
  </si>
  <si>
    <t>04.04.400.003</t>
  </si>
  <si>
    <t>04.04.400.004</t>
  </si>
  <si>
    <t>04.05.100.001</t>
  </si>
  <si>
    <t>04.05.100.002</t>
  </si>
  <si>
    <t>04.05.102.001</t>
  </si>
  <si>
    <t>04.05.102.002</t>
  </si>
  <si>
    <t>04.05.103.001</t>
  </si>
  <si>
    <t>04.05.300.001</t>
  </si>
  <si>
    <t>04.05.600.001</t>
  </si>
  <si>
    <t>04.05.600.002</t>
  </si>
  <si>
    <t>04.05.610.001</t>
  </si>
  <si>
    <t>04.05.610.002</t>
  </si>
  <si>
    <t>04.06.000.001</t>
  </si>
  <si>
    <t>04.06.000.002</t>
  </si>
  <si>
    <t>04.06.000.003</t>
  </si>
  <si>
    <t>05.01.100.001</t>
  </si>
  <si>
    <t>05.01.100.002</t>
  </si>
  <si>
    <t>05.01.100.003</t>
  </si>
  <si>
    <t>05.01.100.004</t>
  </si>
  <si>
    <t>05.01.100.005</t>
  </si>
  <si>
    <t>05.01.100.006</t>
  </si>
  <si>
    <t>05.01.100.007</t>
  </si>
  <si>
    <t>05.01.100.008</t>
  </si>
  <si>
    <t>05.01.100.009</t>
  </si>
  <si>
    <t>05.01.100.010</t>
  </si>
  <si>
    <t>05.01.100.011</t>
  </si>
  <si>
    <t>05.01.100.012</t>
  </si>
  <si>
    <t>05.01.100.013</t>
  </si>
  <si>
    <t>05.01.200.001</t>
  </si>
  <si>
    <t>05.01.200.002</t>
  </si>
  <si>
    <t>05.01.200.003</t>
  </si>
  <si>
    <t>05.01.200.004</t>
  </si>
  <si>
    <t>05.01.200.005</t>
  </si>
  <si>
    <t>05.01.200.006</t>
  </si>
  <si>
    <t>05.01.200.007</t>
  </si>
  <si>
    <t>05.01.200.008</t>
  </si>
  <si>
    <t>05.01.200.009</t>
  </si>
  <si>
    <t>05.01.200.010</t>
  </si>
  <si>
    <t>05.01.200.011</t>
  </si>
  <si>
    <t>05.01.200.012</t>
  </si>
  <si>
    <t>05.01.200.013</t>
  </si>
  <si>
    <t>05.01.200.014</t>
  </si>
  <si>
    <t>05.01.200.015</t>
  </si>
  <si>
    <t>05.01.200.016</t>
  </si>
  <si>
    <t>05.01.200.017</t>
  </si>
  <si>
    <t>05.01.200.018</t>
  </si>
  <si>
    <t>05.01.200.019</t>
  </si>
  <si>
    <t>05.01.200.020</t>
  </si>
  <si>
    <t>05.01.200.021</t>
  </si>
  <si>
    <t>05.01.200.022</t>
  </si>
  <si>
    <t>05.01.200.023</t>
  </si>
  <si>
    <t>05.01.500.001</t>
  </si>
  <si>
    <t>05.01.500.002</t>
  </si>
  <si>
    <t>05.01.500.003</t>
  </si>
  <si>
    <t>05.01.500.004</t>
  </si>
  <si>
    <t>05.01.500.005</t>
  </si>
  <si>
    <t>05.01.500.006</t>
  </si>
  <si>
    <t>05.01.500.007</t>
  </si>
  <si>
    <t>05.01.500.008</t>
  </si>
  <si>
    <t>05.01.500.009</t>
  </si>
  <si>
    <t>05.01.500.010</t>
  </si>
  <si>
    <t>05.01.500.011</t>
  </si>
  <si>
    <t>05.01.500.012</t>
  </si>
  <si>
    <t>05.01.500.013</t>
  </si>
  <si>
    <t>05.01.500.014</t>
  </si>
  <si>
    <t>05.01.500.015</t>
  </si>
  <si>
    <t>05.01.500.016</t>
  </si>
  <si>
    <t>05.01.500.017</t>
  </si>
  <si>
    <t>05.01.600.001</t>
  </si>
  <si>
    <t>05.01.600.002</t>
  </si>
  <si>
    <t>05.03.300.001</t>
  </si>
  <si>
    <t>05.03.300.002</t>
  </si>
  <si>
    <t>05.03.300.003</t>
  </si>
  <si>
    <t>05.03.300.004</t>
  </si>
  <si>
    <t>05.03.300.005</t>
  </si>
  <si>
    <t>05.03.300.006</t>
  </si>
  <si>
    <t>05.03.300.007</t>
  </si>
  <si>
    <t>05.03.350.001</t>
  </si>
  <si>
    <t>05.03.350.002</t>
  </si>
  <si>
    <t>05.03.900.001</t>
  </si>
  <si>
    <t>05.03.900.002</t>
  </si>
  <si>
    <t>05.03.910</t>
  </si>
  <si>
    <t>05.03.910.001</t>
  </si>
  <si>
    <t>05.03.910.002</t>
  </si>
  <si>
    <t>05.03.910.003</t>
  </si>
  <si>
    <t>05.03.910.004</t>
  </si>
  <si>
    <t>05.03.910.005</t>
  </si>
  <si>
    <t>05.03.910.006</t>
  </si>
  <si>
    <t>05.04.300.001</t>
  </si>
  <si>
    <t>05.04.300.002</t>
  </si>
  <si>
    <t>05.04.300.003</t>
  </si>
  <si>
    <t>05.04.300.004</t>
  </si>
  <si>
    <t>05.04.300.005</t>
  </si>
  <si>
    <t>05.04.300.006</t>
  </si>
  <si>
    <t>05.04.300.007</t>
  </si>
  <si>
    <t>05.04.300.008</t>
  </si>
  <si>
    <t>05.04.300.009</t>
  </si>
  <si>
    <t>05.04.300.010</t>
  </si>
  <si>
    <t>05.04.300.011</t>
  </si>
  <si>
    <t>05.04.300.012</t>
  </si>
  <si>
    <t>05.04.300.013</t>
  </si>
  <si>
    <t>05.04.300.014</t>
  </si>
  <si>
    <t>05.04.300.015</t>
  </si>
  <si>
    <t>05.04.300.016</t>
  </si>
  <si>
    <t>05.04.300.017</t>
  </si>
  <si>
    <t>05.04.300.018</t>
  </si>
  <si>
    <t>05.04.300.019</t>
  </si>
  <si>
    <t>05.04.300.020</t>
  </si>
  <si>
    <t>05.04.300.021</t>
  </si>
  <si>
    <t>05.04.300.022</t>
  </si>
  <si>
    <t xml:space="preserve"> 05.04.800.001</t>
  </si>
  <si>
    <t xml:space="preserve"> 05.04.800.002</t>
  </si>
  <si>
    <t xml:space="preserve"> 05.04.800.003</t>
  </si>
  <si>
    <t xml:space="preserve"> 05.04.800.004</t>
  </si>
  <si>
    <t xml:space="preserve"> 05.04.800.005</t>
  </si>
  <si>
    <t xml:space="preserve"> 05.04.800.006</t>
  </si>
  <si>
    <t xml:space="preserve"> 05.04.900.001</t>
  </si>
  <si>
    <t xml:space="preserve"> 05.04.900.002</t>
  </si>
  <si>
    <t xml:space="preserve"> 06.01.100.001</t>
  </si>
  <si>
    <t xml:space="preserve"> 06.01.101.001</t>
  </si>
  <si>
    <t xml:space="preserve"> 06.01.103.001</t>
  </si>
  <si>
    <t xml:space="preserve"> 06.01.103.002</t>
  </si>
  <si>
    <t xml:space="preserve"> 06.01.104.001</t>
  </si>
  <si>
    <t xml:space="preserve"> 06.01.301.001</t>
  </si>
  <si>
    <t xml:space="preserve"> 06.01.302.001</t>
  </si>
  <si>
    <t xml:space="preserve"> 06.01.302.002</t>
  </si>
  <si>
    <t xml:space="preserve"> 06.01.302.003</t>
  </si>
  <si>
    <t xml:space="preserve"> 06.01.302.004</t>
  </si>
  <si>
    <t xml:space="preserve"> 06.01.302.005</t>
  </si>
  <si>
    <t xml:space="preserve"> 06.01.302.006</t>
  </si>
  <si>
    <t xml:space="preserve"> 06.01.302.007</t>
  </si>
  <si>
    <t xml:space="preserve"> 06.01.302.008</t>
  </si>
  <si>
    <t xml:space="preserve"> 06.01.302.009</t>
  </si>
  <si>
    <t xml:space="preserve"> 06.01.302.010</t>
  </si>
  <si>
    <t xml:space="preserve"> 06.01.304.001</t>
  </si>
  <si>
    <t xml:space="preserve"> 06.01.304.002</t>
  </si>
  <si>
    <t xml:space="preserve"> 06.01.304.003</t>
  </si>
  <si>
    <t xml:space="preserve"> 06.01.304.004</t>
  </si>
  <si>
    <t xml:space="preserve"> 06.01.304.005</t>
  </si>
  <si>
    <t xml:space="preserve"> 06.01.304.006</t>
  </si>
  <si>
    <t xml:space="preserve"> 06.01.304.007</t>
  </si>
  <si>
    <t xml:space="preserve"> 06.01.304.008</t>
  </si>
  <si>
    <t xml:space="preserve"> 06.01.304.009</t>
  </si>
  <si>
    <t xml:space="preserve"> 06.01.304.010</t>
  </si>
  <si>
    <t xml:space="preserve"> 06.01.305.001</t>
  </si>
  <si>
    <t xml:space="preserve"> 06.01.305.002</t>
  </si>
  <si>
    <t xml:space="preserve"> 06.01.305.003</t>
  </si>
  <si>
    <t xml:space="preserve"> 06.01.305.004</t>
  </si>
  <si>
    <t xml:space="preserve"> 06.01.305.005</t>
  </si>
  <si>
    <t xml:space="preserve"> 06.01.305.006</t>
  </si>
  <si>
    <t>06.01.306.001</t>
  </si>
  <si>
    <t>06.01.306.002</t>
  </si>
  <si>
    <t>06.01.306.003</t>
  </si>
  <si>
    <t>06.01.306.004</t>
  </si>
  <si>
    <t>06.01.306.005</t>
  </si>
  <si>
    <t>06.01.306.006</t>
  </si>
  <si>
    <t>06.01.309.001</t>
  </si>
  <si>
    <t>06.01.309.002</t>
  </si>
  <si>
    <t>06.01.309.003</t>
  </si>
  <si>
    <t>06.01.309.004</t>
  </si>
  <si>
    <t>06.01.309.005</t>
  </si>
  <si>
    <t>06.01.309.006</t>
  </si>
  <si>
    <t>06.01.309.007</t>
  </si>
  <si>
    <t>06.01.309.008</t>
  </si>
  <si>
    <t>06.01.401.001</t>
  </si>
  <si>
    <t>06.01.401.002</t>
  </si>
  <si>
    <t>06.01.401.003</t>
  </si>
  <si>
    <t>06.01.401.004</t>
  </si>
  <si>
    <t>06.01.401.005</t>
  </si>
  <si>
    <t>06.01.401.006</t>
  </si>
  <si>
    <t>06.01.403.001</t>
  </si>
  <si>
    <t>06.01.403.002</t>
  </si>
  <si>
    <t>06.01.403.003</t>
  </si>
  <si>
    <t>06.01.403.004</t>
  </si>
  <si>
    <t>06.01.404.001</t>
  </si>
  <si>
    <t>06.01.404.002</t>
  </si>
  <si>
    <t>06.01.404.003</t>
  </si>
  <si>
    <t>06.01.404.004</t>
  </si>
  <si>
    <t>06.01.500.001</t>
  </si>
  <si>
    <t>06.01.500.002</t>
  </si>
  <si>
    <t>06.01.500.003</t>
  </si>
  <si>
    <t>06.02.100.001</t>
  </si>
  <si>
    <t>06.02.100.002</t>
  </si>
  <si>
    <t>06.02.100.003</t>
  </si>
  <si>
    <t>06.02.100.004</t>
  </si>
  <si>
    <t>06.02.100.005</t>
  </si>
  <si>
    <t>06.02.200.001</t>
  </si>
  <si>
    <t>06.02.200.002</t>
  </si>
  <si>
    <t>06.02.300.001</t>
  </si>
  <si>
    <t>06.02.300.002</t>
  </si>
  <si>
    <t>06.02.300.003</t>
  </si>
  <si>
    <t>06.02.300.004</t>
  </si>
  <si>
    <t>06.02.300.005</t>
  </si>
  <si>
    <t>06.02.300.006</t>
  </si>
  <si>
    <t>06.02.300.007</t>
  </si>
  <si>
    <t>06.02.300.008</t>
  </si>
  <si>
    <t>06.02.300.009</t>
  </si>
  <si>
    <t>06.02.300.010</t>
  </si>
  <si>
    <t>06.02.300.011</t>
  </si>
  <si>
    <t>06.02.300.012</t>
  </si>
  <si>
    <t>06.02.300.013</t>
  </si>
  <si>
    <t>06.02.300.014</t>
  </si>
  <si>
    <t>06.02.300.015</t>
  </si>
  <si>
    <t>06.02.400.001</t>
  </si>
  <si>
    <t>06.02.400.002</t>
  </si>
  <si>
    <t>06.02.400.003</t>
  </si>
  <si>
    <t>06.02.400.004</t>
  </si>
  <si>
    <t>06.03.100.001</t>
  </si>
  <si>
    <t>06.03.200.001</t>
  </si>
  <si>
    <t>06.03.200.002</t>
  </si>
  <si>
    <t>06.03.200.003</t>
  </si>
  <si>
    <t>06.03.200.004</t>
  </si>
  <si>
    <t>06.03.300.001</t>
  </si>
  <si>
    <t>06.03.300.002</t>
  </si>
  <si>
    <t>06.03.300.003</t>
  </si>
  <si>
    <t>06.03.300.004</t>
  </si>
  <si>
    <t>06.03.300.005</t>
  </si>
  <si>
    <t>06.03.300.006</t>
  </si>
  <si>
    <t>06.03.300.007</t>
  </si>
  <si>
    <t>06.03.300.008</t>
  </si>
  <si>
    <t>06.03.300.009</t>
  </si>
  <si>
    <t>06.03.300.010</t>
  </si>
  <si>
    <t>06.03.300.011</t>
  </si>
  <si>
    <t>06.03.400.001</t>
  </si>
  <si>
    <t>06.03.400.002</t>
  </si>
  <si>
    <t>06.03.600.001</t>
  </si>
  <si>
    <t>06.03.600.002</t>
  </si>
  <si>
    <t>06.03.600.003</t>
  </si>
  <si>
    <t>06.03.600.004</t>
  </si>
  <si>
    <t>06.03.600.005</t>
  </si>
  <si>
    <t>06.03.600.006</t>
  </si>
  <si>
    <t>07.02.300.001</t>
  </si>
  <si>
    <t>07.02.300.002</t>
  </si>
  <si>
    <t>07.07.000.001</t>
  </si>
  <si>
    <t>07.07.000.002</t>
  </si>
  <si>
    <t>07.07.000.003</t>
  </si>
  <si>
    <t>08.01.200.001</t>
  </si>
  <si>
    <t>08.01.200.002</t>
  </si>
  <si>
    <t>08.01.200.003</t>
  </si>
  <si>
    <t>08.01.200.004</t>
  </si>
  <si>
    <t>08.01.200.005</t>
  </si>
  <si>
    <t>08.01.200.006</t>
  </si>
  <si>
    <t>08.01.200.007</t>
  </si>
  <si>
    <t>08.01.200.008</t>
  </si>
  <si>
    <t>08.01.200.009</t>
  </si>
  <si>
    <t>08.01.200.010</t>
  </si>
  <si>
    <t>08.01.200.011</t>
  </si>
  <si>
    <t>08.01.200.012</t>
  </si>
  <si>
    <t>08.01.200.013</t>
  </si>
  <si>
    <t>08.01.200.014</t>
  </si>
  <si>
    <t>08.01.200.015</t>
  </si>
  <si>
    <t>08.01.200.016</t>
  </si>
  <si>
    <t>08.01.200.017</t>
  </si>
  <si>
    <t xml:space="preserve"> 08.01.510.001</t>
  </si>
  <si>
    <t xml:space="preserve"> 08.01.510.002</t>
  </si>
  <si>
    <t xml:space="preserve"> 08.01.511.001</t>
  </si>
  <si>
    <t xml:space="preserve"> 08.01.516.001</t>
  </si>
  <si>
    <t xml:space="preserve"> 08.01.517.001</t>
  </si>
  <si>
    <t xml:space="preserve"> 08.01.519.001</t>
  </si>
  <si>
    <t xml:space="preserve"> 08.01.519.002</t>
  </si>
  <si>
    <t xml:space="preserve"> 08.01.519.003</t>
  </si>
  <si>
    <t xml:space="preserve"> 08.01.519.004</t>
  </si>
  <si>
    <t xml:space="preserve"> 08.01.519.005</t>
  </si>
  <si>
    <t xml:space="preserve"> 08.01.519.006</t>
  </si>
  <si>
    <t xml:space="preserve"> 08.01.519.007</t>
  </si>
  <si>
    <t xml:space="preserve"> 08.01.600.001</t>
  </si>
  <si>
    <t>09.01.000</t>
  </si>
  <si>
    <t>09.01.000.001</t>
  </si>
  <si>
    <t>09.01.000.002</t>
  </si>
  <si>
    <t>09.02.000.001</t>
  </si>
  <si>
    <t>09.03.000.001</t>
  </si>
  <si>
    <t>09.04.000</t>
  </si>
  <si>
    <t>09.04.000.001</t>
  </si>
  <si>
    <t>10.01.000.001</t>
  </si>
  <si>
    <t>10.01.000.002</t>
  </si>
  <si>
    <t>10.01.000.003</t>
  </si>
  <si>
    <t>10.01.000.004</t>
  </si>
  <si>
    <t>10.01.000.005</t>
  </si>
  <si>
    <t>10.01.000.006</t>
  </si>
  <si>
    <t>10.01.000.007</t>
  </si>
  <si>
    <t>10.01.000.008</t>
  </si>
  <si>
    <t>10.01.000.009</t>
  </si>
  <si>
    <t>10.01.000.010</t>
  </si>
  <si>
    <t>10.01.000.011</t>
  </si>
  <si>
    <t>10.04.000.001</t>
  </si>
  <si>
    <t>de Alvenaria de tijolos furados de barro</t>
  </si>
  <si>
    <t>de Alvenaria de tijolos laminados de cerâmica</t>
  </si>
  <si>
    <t>de Alvenaria de elementos vazados de cerâmica</t>
  </si>
  <si>
    <t>de Divisória de granito</t>
  </si>
  <si>
    <t>Sistema de Amortização de Águas Pluviais e Reservatórios de detenção</t>
  </si>
  <si>
    <t>39029U</t>
  </si>
  <si>
    <t>PERFILADO PERFURADO DUPLO 38X76 MM, CHAPA 22 AF_05/2015</t>
  </si>
  <si>
    <t>SUPORTE DE ATÉ 3 TUBOS HORIZONTAIS, EM PERFILADO DE SECÇÃO 38X76 MM AF_05/2015</t>
  </si>
  <si>
    <t>Luminária tipo calha de sobrepor, retangular, alto fluxo, alumínio com pintura branca fosca, 2,60m com lâmpada 36w</t>
  </si>
  <si>
    <t>PROJETO: CENTRO EDUCACIONAL CRIXÁ</t>
  </si>
  <si>
    <t>COMPOSIÇÃO DO BDI - DESONERADO</t>
  </si>
  <si>
    <t xml:space="preserve">TIPO DE OBRA DO EMPREENDIMENTO </t>
  </si>
  <si>
    <t>DESONERAÇÂO</t>
  </si>
  <si>
    <t>Construção e Reforma de Edifícios</t>
  </si>
  <si>
    <t>Sim</t>
  </si>
  <si>
    <t>ADMINISTRAÇÃO CENTRAL (AC)</t>
  </si>
  <si>
    <t>SEGUROS + GARANTIAS (SG)</t>
  </si>
  <si>
    <t>TAXA DE RISCO (R)</t>
  </si>
  <si>
    <t>DESPESAS FINANCEIRAS (DF)</t>
  </si>
  <si>
    <t>TAXA DE LUCRO (L)</t>
  </si>
  <si>
    <t>IMPOSTOS (I)</t>
  </si>
  <si>
    <t>BDI com Desoneração (Fórmula Acórdão TCU)</t>
  </si>
  <si>
    <t>BDI Diferenciado para equipamentos e materiais</t>
  </si>
  <si>
    <t>BDI</t>
  </si>
  <si>
    <t>BDI      20,26%</t>
  </si>
  <si>
    <t xml:space="preserve">B.D.I. =  20,26% </t>
  </si>
  <si>
    <t>CAPA DA PLANILHA ESTIMATIVA</t>
  </si>
  <si>
    <t>(Conforme Lei 8.666/93, artigo 40, parágrafo 2º, inciso II)</t>
  </si>
  <si>
    <t>TÍTULO:</t>
  </si>
  <si>
    <t>CENTRO EDUCACIONAL CRIXÁ - BAIRRO CRIXÁ</t>
  </si>
  <si>
    <t>Nº PROJETO:</t>
  </si>
  <si>
    <t>NOME PROJETO:</t>
  </si>
  <si>
    <t>Centro Educacional Crixá - Bairro Crixá</t>
  </si>
  <si>
    <t>ENDEREÇO:</t>
  </si>
  <si>
    <t>Avenida Crixá, Lote 06, Bairro Crixá - São Sebastião / DF</t>
  </si>
  <si>
    <t>PRAZO:</t>
  </si>
  <si>
    <t>12 meses</t>
  </si>
  <si>
    <t>DATA:</t>
  </si>
  <si>
    <t>ORÇAMENTISTA(S):</t>
  </si>
  <si>
    <t>Arquiteto Ildeu Pinto de Amorim</t>
  </si>
  <si>
    <t>PROCESSO:</t>
  </si>
  <si>
    <t xml:space="preserve">TABELA DE REFERÊNCIA:  </t>
  </si>
  <si>
    <t>SISOBRAS:</t>
  </si>
  <si>
    <t>Área total de Construção 7.763,17 m²</t>
  </si>
  <si>
    <t>01. Para o efeito de licitação, verificar todas as considerações a respeito dos serviços e fazer as alterações do projeto e do caderno de especificações de Arquitetura onde se fizer necessário, a fim de compatibiliza-los com as estimativas.</t>
  </si>
  <si>
    <t>RESP. CAPA:</t>
  </si>
  <si>
    <t>ESTIMATIVAS:</t>
  </si>
  <si>
    <t xml:space="preserve">FORMAÇÃO DE PREÇOS ORÇAMENTO EDIFICAÇÃO </t>
  </si>
  <si>
    <t>NOTAS:</t>
  </si>
  <si>
    <t>*Esta planilha é orientativa. Desta forma, é de inteira responsabilidade do contratado as quantidades e valores necessários a completa execução da obra.</t>
  </si>
  <si>
    <t>*Havendo irregularidades neste instrumento, entre em contato com a Ouvidoria de Combate a Corrupção, no telefone 0800-6449060</t>
  </si>
  <si>
    <t>PLANILHA ORÇAMENTÁRIA RESUMO</t>
  </si>
  <si>
    <t>OBRA: Centro Educacional Crixá</t>
  </si>
  <si>
    <t>LOCAL: Avenida Crixá, Lote 06 - Bairro Crixá - São Sebastião / DF</t>
  </si>
  <si>
    <t>Área de construção: 7.763,17 m²</t>
  </si>
  <si>
    <t>OBRA:</t>
  </si>
  <si>
    <t>LOCAL:</t>
  </si>
  <si>
    <t>PREÇO UNITÁRIO(R$)</t>
  </si>
  <si>
    <t>PREÇO     TOTAL (R$)</t>
  </si>
  <si>
    <t>PLANILHA ESTIMATIVA DOS SERVIÇOS (NÃO DESONERADA)</t>
  </si>
  <si>
    <t>BDI EQUIPAMENTOS</t>
  </si>
  <si>
    <t>Avenida Crixá, Lote 06 - Bairro Crixá - São Sebastião / DF</t>
  </si>
  <si>
    <t>ÁREA CONSTRUÇÂO: 7.763,17 m²</t>
  </si>
  <si>
    <t>CRONOGRAMA FÍSICO FINANCEIRO</t>
  </si>
  <si>
    <t xml:space="preserve">TOTAL (R$)             com BDI </t>
  </si>
  <si>
    <t>TOTAL DO ITEM</t>
  </si>
  <si>
    <t>TOTAIS GERAIS COM BDI</t>
  </si>
  <si>
    <t>TOTAIS GERAIS ACUMULADO</t>
  </si>
  <si>
    <t>PORCENTAGEM EM RELAÇÂO AO VALOR DA OBRA</t>
  </si>
  <si>
    <t xml:space="preserve">PORCENTAGENS ACUMULADAS EM RELAÇÂO AO VALOR TOTAL DA OBRA </t>
  </si>
  <si>
    <t>TOTAL DO ITEM 03.00.000</t>
  </si>
  <si>
    <t>TOTAL DO ITEM 04.00.000</t>
  </si>
  <si>
    <t>TOTAL DO ITEM 05.00.000</t>
  </si>
  <si>
    <t>TOTAL DO ITEM 06.00.000</t>
  </si>
  <si>
    <t>TOTAL DO ITEM 07.00.000</t>
  </si>
  <si>
    <t>DIRETOR DE OBRAS SECRETARIA DE ESTADO DE EDUCAÇÃO DO</t>
  </si>
  <si>
    <t>DISTRITO FEDERAL</t>
  </si>
  <si>
    <t>GERENTE DE OBRAS SECRETARIA DE ESTADO DE EDUCAÇÃO DO</t>
  </si>
  <si>
    <t>FISCAL DE OBRAS SECRETARIA DE ESTADO DE EDUCAÇÃO DO</t>
  </si>
  <si>
    <t>EMPREITEIRO</t>
  </si>
  <si>
    <t>BDI = 20,26% ............................................................................................................................   R$        3.592.473,16</t>
  </si>
  <si>
    <t>SUB TOTAL ...............................................................................................................................   R$      17.731.851,73</t>
  </si>
  <si>
    <t>TOTAL DO ITEM 10.00.000</t>
  </si>
  <si>
    <t>outubro</t>
  </si>
  <si>
    <t>novembro</t>
  </si>
  <si>
    <t>dezembro</t>
  </si>
  <si>
    <t>janeiro</t>
  </si>
  <si>
    <t>fevereiro</t>
  </si>
  <si>
    <t>março</t>
  </si>
  <si>
    <t>abril</t>
  </si>
  <si>
    <t>maio</t>
  </si>
  <si>
    <t>junho</t>
  </si>
  <si>
    <t>julho</t>
  </si>
  <si>
    <t>agosto</t>
  </si>
  <si>
    <t>setembro</t>
  </si>
  <si>
    <t xml:space="preserve">julho </t>
  </si>
  <si>
    <t>Poste de aço galvanizado ELETROPAULO/BANDEIRANTES/ELEKTRO/CPFL para entrada de energia h = 7 m, Ø 4", # 5 mm</t>
  </si>
  <si>
    <t>FUNDO ANTICORROSIVO TIPO ZARCÃO</t>
  </si>
  <si>
    <r>
      <t xml:space="preserve"> Variação INCC                      Out.19 a Dez.21                      22,17 </t>
    </r>
    <r>
      <rPr>
        <b/>
        <sz val="11"/>
        <color rgb="FF000000"/>
        <rFont val="Calibri"/>
        <family val="2"/>
        <scheme val="minor"/>
      </rPr>
      <t>%</t>
    </r>
  </si>
  <si>
    <t>03622/ORSE</t>
  </si>
  <si>
    <t>8347/ORSE</t>
  </si>
  <si>
    <t>06554/ORSE</t>
  </si>
  <si>
    <t>06954/ORSE</t>
  </si>
  <si>
    <t>012922/ORSE</t>
  </si>
  <si>
    <t>103316U</t>
  </si>
  <si>
    <t>LEIS SOCIAIS HORISTAS: 110,14%</t>
  </si>
  <si>
    <t>LEIS SOCIAIS MENSALISTAS: 70,03%</t>
  </si>
  <si>
    <t>TABELA DE REFERÊNCIA: SINAPI - DEZEMBRO DE 2021 - NÃO DESONERAD0</t>
  </si>
  <si>
    <t>SINAPI - Dezembro de 2021 - Não Desonerado</t>
  </si>
  <si>
    <t>103322U</t>
  </si>
  <si>
    <t>103327U</t>
  </si>
  <si>
    <t>102505U</t>
  </si>
  <si>
    <t>10072/ORSE</t>
  </si>
  <si>
    <t>13056/ORSE</t>
  </si>
  <si>
    <t>09834/ORSE</t>
  </si>
  <si>
    <t>07826/ORSE</t>
  </si>
  <si>
    <t>09670/ORSE</t>
  </si>
  <si>
    <t>09905/ORSE</t>
  </si>
  <si>
    <t>JOELHO 90º EM FERRO GALVANIZADO 4"  FORNECIMENTO E INSTALAÇÃO</t>
  </si>
  <si>
    <t>JOELHO 90º EM FERRO GALVANIZADO 6" - FORNECIMENTO E INSTALAÇÃO</t>
  </si>
  <si>
    <t>TABELA DE REFERÊNCIA: SINAPI - DEZEMBRO. 2021 - NÃO DESONERADO</t>
  </si>
  <si>
    <r>
      <t>TABELA DE REFERÊNCIA: ORSE - DEZEMBRO / 2021-1</t>
    </r>
    <r>
      <rPr>
        <b/>
        <sz val="9"/>
        <color rgb="FFFF0000"/>
        <rFont val="Arial"/>
        <family val="2"/>
      </rPr>
      <t xml:space="preserve"> </t>
    </r>
  </si>
  <si>
    <r>
      <t xml:space="preserve">TABELA DE REFERÊNCIA: SICRO - </t>
    </r>
    <r>
      <rPr>
        <b/>
        <sz val="9"/>
        <rFont val="Arial"/>
        <family val="2"/>
      </rPr>
      <t>OUTUBRO / 2021</t>
    </r>
    <r>
      <rPr>
        <b/>
        <sz val="9"/>
        <color rgb="FFFF0000"/>
        <rFont val="Arial"/>
        <family val="2"/>
      </rPr>
      <t xml:space="preserve"> </t>
    </r>
  </si>
  <si>
    <t>Data: 23.02.2022</t>
  </si>
  <si>
    <t>TABELA DE REFERÊNCIA: SINAPI  - DEZEMBRO - 2021 - NÃO DESONERADO</t>
  </si>
  <si>
    <t>Data 23.02.2022</t>
  </si>
  <si>
    <t xml:space="preserve">VALOR ESTIMADO COM BDI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</si>
</sst>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 #,##0.00_-;\-&quot;R$&quot;\ * #,##0.00_-;_-&quot;R$&quot;\ * &quot;-&quot;??_-;_-@_-"/>
    <numFmt numFmtId="43" formatCode="_-* #,##0.00_-;\-* #,##0.00_-;_-* &quot;-&quot;??_-;_-@_-"/>
    <numFmt numFmtId="164" formatCode="_(* #,##0_);_(* \(#,##0\);_(* &quot;-&quot;??_);_(@_)"/>
    <numFmt numFmtId="165" formatCode="_(* #,##0.00_);_(* \(#,##0.00\);_(* &quot;-&quot;??_);_(@_)"/>
    <numFmt numFmtId="166" formatCode="&quot;R$&quot;#,##0.00;[Red]\-&quot;R$&quot;#,##0.00"/>
    <numFmt numFmtId="167" formatCode="0.0000"/>
    <numFmt numFmtId="168" formatCode="0.000%"/>
    <numFmt numFmtId="169" formatCode="#,##0.000000000"/>
    <numFmt numFmtId="170" formatCode="#,##0.000000"/>
    <numFmt numFmtId="171" formatCode="#,##0.0000"/>
  </numFmts>
  <fonts count="67">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Verdana"/>
      <family val="2"/>
    </font>
    <font>
      <sz val="11"/>
      <color rgb="FF000000"/>
      <name val="Calibri"/>
      <family val="2"/>
      <scheme val="minor"/>
    </font>
    <font>
      <sz val="10"/>
      <color rgb="FF000000"/>
      <name val="Arial"/>
      <family val="2"/>
    </font>
    <font>
      <b/>
      <sz val="10"/>
      <color rgb="FF000000"/>
      <name val="Arial"/>
      <family val="2"/>
    </font>
    <font>
      <sz val="11"/>
      <color rgb="FF000000"/>
      <name val="Arial"/>
      <family val="2"/>
    </font>
    <font>
      <b/>
      <sz val="10"/>
      <color indexed="8"/>
      <name val="Arial"/>
      <family val="2"/>
    </font>
    <font>
      <sz val="10"/>
      <color indexed="8"/>
      <name val="Arial"/>
      <family val="2"/>
    </font>
    <font>
      <b/>
      <sz val="8"/>
      <color indexed="8"/>
      <name val="Arial"/>
      <family val="2"/>
    </font>
    <font>
      <b/>
      <sz val="10"/>
      <name val="Arial"/>
      <family val="2"/>
    </font>
    <font>
      <b/>
      <sz val="11"/>
      <name val="Arial"/>
      <family val="2"/>
    </font>
    <font>
      <sz val="10"/>
      <color theme="1"/>
      <name val="Arial"/>
      <family val="2"/>
    </font>
    <font>
      <sz val="8"/>
      <color indexed="8"/>
      <name val="Arial"/>
      <family val="2"/>
    </font>
    <font>
      <sz val="10"/>
      <name val="Arial"/>
      <family val="2"/>
    </font>
    <font>
      <sz val="9"/>
      <color indexed="8"/>
      <name val="Arial"/>
      <family val="2"/>
    </font>
    <font>
      <b/>
      <sz val="9"/>
      <color indexed="8"/>
      <name val="Arial"/>
      <family val="2"/>
    </font>
    <font>
      <sz val="9"/>
      <color theme="1"/>
      <name val="Arial"/>
      <family val="2"/>
    </font>
    <font>
      <b/>
      <sz val="10"/>
      <color rgb="FF000000"/>
      <name val="Verdana"/>
      <family val="2"/>
    </font>
    <font>
      <b/>
      <sz val="11"/>
      <color rgb="FF000000"/>
      <name val="Calibri"/>
      <family val="2"/>
      <scheme val="minor"/>
    </font>
    <font>
      <sz val="12"/>
      <name val="Arial"/>
      <family val="2"/>
    </font>
    <font>
      <sz val="8"/>
      <name val="Calibri"/>
      <family val="2"/>
      <scheme val="minor"/>
    </font>
    <font>
      <b/>
      <sz val="10"/>
      <color theme="0"/>
      <name val="Arial"/>
      <family val="2"/>
    </font>
    <font>
      <sz val="10"/>
      <color theme="0"/>
      <name val="Verdana"/>
      <family val="2"/>
    </font>
    <font>
      <sz val="10"/>
      <color theme="0"/>
      <name val="Arial"/>
      <family val="2"/>
    </font>
    <font>
      <b/>
      <sz val="16"/>
      <color theme="0"/>
      <name val="Arial"/>
      <family val="2"/>
    </font>
    <font>
      <sz val="11"/>
      <name val="Calibri"/>
      <family val="2"/>
      <scheme val="minor"/>
    </font>
    <font>
      <b/>
      <sz val="14"/>
      <color theme="1"/>
      <name val="Calibri "/>
    </font>
    <font>
      <b/>
      <sz val="14"/>
      <color theme="1"/>
      <name val="Arial"/>
      <family val="2"/>
    </font>
    <font>
      <b/>
      <u/>
      <sz val="14"/>
      <color theme="1"/>
      <name val="Arial"/>
      <family val="2"/>
    </font>
    <font>
      <sz val="12"/>
      <color theme="1"/>
      <name val="Arial"/>
      <family val="2"/>
    </font>
    <font>
      <b/>
      <sz val="12"/>
      <color theme="1"/>
      <name val="Calibri"/>
      <family val="2"/>
      <scheme val="minor"/>
    </font>
    <font>
      <sz val="12"/>
      <color theme="1"/>
      <name val="Calibri"/>
      <family val="2"/>
      <scheme val="minor"/>
    </font>
    <font>
      <u/>
      <sz val="11"/>
      <name val="Arial"/>
      <family val="2"/>
    </font>
    <font>
      <sz val="11"/>
      <name val="Calibri"/>
      <family val="2"/>
    </font>
    <font>
      <sz val="26"/>
      <name val="Calibri"/>
      <family val="2"/>
    </font>
    <font>
      <b/>
      <sz val="14"/>
      <color theme="1"/>
      <name val="Calibri"/>
      <family val="2"/>
      <scheme val="minor"/>
    </font>
    <font>
      <b/>
      <u/>
      <sz val="14"/>
      <name val="Arial"/>
      <family val="2"/>
    </font>
    <font>
      <b/>
      <sz val="18"/>
      <name val="Arial"/>
      <family val="2"/>
    </font>
    <font>
      <sz val="22"/>
      <name val="Arial"/>
      <family val="2"/>
    </font>
    <font>
      <b/>
      <sz val="8"/>
      <color rgb="FF000000"/>
      <name val="Arial"/>
      <family val="2"/>
    </font>
    <font>
      <b/>
      <sz val="9"/>
      <color rgb="FF000000"/>
      <name val="Arial"/>
      <family val="2"/>
    </font>
    <font>
      <b/>
      <sz val="12"/>
      <color theme="0"/>
      <name val="Arial"/>
      <family val="2"/>
    </font>
    <font>
      <b/>
      <sz val="10"/>
      <color theme="0"/>
      <name val="Verdana"/>
      <family val="2"/>
    </font>
    <font>
      <sz val="8"/>
      <color theme="0"/>
      <name val="Arial"/>
      <family val="2"/>
    </font>
    <font>
      <b/>
      <sz val="9"/>
      <color rgb="FFFF0000"/>
      <name val="Arial"/>
      <family val="2"/>
    </font>
    <font>
      <b/>
      <sz val="9"/>
      <name val="Arial"/>
      <family val="2"/>
    </font>
    <font>
      <sz val="9"/>
      <color theme="1"/>
      <name val="Calibri"/>
      <family val="2"/>
      <scheme val="minor"/>
    </font>
    <font>
      <b/>
      <sz val="9"/>
      <color theme="1"/>
      <name val="Calibri"/>
      <family val="2"/>
      <scheme val="minor"/>
    </font>
    <font>
      <b/>
      <sz val="10"/>
      <color theme="1"/>
      <name val="Calibri"/>
      <family val="2"/>
      <scheme val="minor"/>
    </font>
    <font>
      <b/>
      <sz val="12"/>
      <color rgb="FF000000"/>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499984740745262"/>
        <bgColor rgb="FF000000"/>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00"/>
        <bgColor indexed="64"/>
      </patternFill>
    </fill>
  </fills>
  <borders count="1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bottom/>
      <diagonal/>
    </border>
    <border>
      <left/>
      <right style="hair">
        <color indexed="64"/>
      </right>
      <top/>
      <bottom/>
      <diagonal/>
    </border>
    <border>
      <left style="hair">
        <color rgb="FF000000"/>
      </left>
      <right style="hair">
        <color rgb="FF000000"/>
      </right>
      <top style="hair">
        <color rgb="FF000000"/>
      </top>
      <bottom style="hair">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auto="1"/>
      </top>
      <bottom style="thick">
        <color indexed="64"/>
      </bottom>
      <diagonal/>
    </border>
    <border>
      <left style="thin">
        <color indexed="64"/>
      </left>
      <right style="thin">
        <color indexed="64"/>
      </right>
      <top style="thin">
        <color auto="1"/>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rgb="FF000000"/>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indexed="64"/>
      </right>
      <top/>
      <bottom style="hair">
        <color rgb="FF000000"/>
      </bottom>
      <diagonal/>
    </border>
    <border>
      <left style="hair">
        <color indexed="64"/>
      </left>
      <right/>
      <top style="hair">
        <color rgb="FF000000"/>
      </top>
      <bottom style="hair">
        <color rgb="FF000000"/>
      </bottom>
      <diagonal/>
    </border>
    <border>
      <left style="hair">
        <color indexed="64"/>
      </left>
      <right/>
      <top style="thin">
        <color indexed="64"/>
      </top>
      <bottom/>
      <diagonal/>
    </border>
    <border>
      <left style="hair">
        <color indexed="64"/>
      </left>
      <right/>
      <top/>
      <bottom style="hair">
        <color rgb="FF000000"/>
      </bottom>
      <diagonal/>
    </border>
    <border>
      <left/>
      <right/>
      <top/>
      <bottom style="hair">
        <color indexed="64"/>
      </bottom>
      <diagonal/>
    </border>
    <border>
      <left/>
      <right style="hair">
        <color indexed="64"/>
      </right>
      <top/>
      <bottom style="thin">
        <color indexed="64"/>
      </bottom>
      <diagonal/>
    </border>
    <border>
      <left style="thin">
        <color rgb="FF000000"/>
      </left>
      <right style="thin">
        <color rgb="FF000000"/>
      </right>
      <top style="thin">
        <color rgb="FF000000"/>
      </top>
      <bottom/>
      <diagonal/>
    </border>
    <border>
      <left style="thin">
        <color indexed="64"/>
      </left>
      <right style="hair">
        <color rgb="FF000000"/>
      </right>
      <top style="thin">
        <color indexed="64"/>
      </top>
      <bottom style="hair">
        <color rgb="FF000000"/>
      </bottom>
      <diagonal/>
    </border>
    <border>
      <left/>
      <right style="hair">
        <color rgb="FF000000"/>
      </right>
      <top style="thin">
        <color indexed="64"/>
      </top>
      <bottom style="hair">
        <color rgb="FF000000"/>
      </bottom>
      <diagonal/>
    </border>
    <border>
      <left/>
      <right style="thin">
        <color indexed="64"/>
      </right>
      <top style="thin">
        <color indexed="64"/>
      </top>
      <bottom style="hair">
        <color rgb="FF000000"/>
      </bottom>
      <diagonal/>
    </border>
    <border>
      <left style="thin">
        <color indexed="64"/>
      </left>
      <right style="hair">
        <color rgb="FF000000"/>
      </right>
      <top/>
      <bottom style="hair">
        <color rgb="FF000000"/>
      </bottom>
      <diagonal/>
    </border>
    <border>
      <left/>
      <right style="thin">
        <color indexed="64"/>
      </right>
      <top/>
      <bottom style="hair">
        <color rgb="FF000000"/>
      </bottom>
      <diagonal/>
    </border>
    <border>
      <left style="thin">
        <color indexed="64"/>
      </left>
      <right/>
      <top style="hair">
        <color rgb="FF000000"/>
      </top>
      <bottom style="thin">
        <color indexed="64"/>
      </bottom>
      <diagonal/>
    </border>
    <border>
      <left/>
      <right/>
      <top style="hair">
        <color rgb="FF000000"/>
      </top>
      <bottom style="thin">
        <color indexed="64"/>
      </bottom>
      <diagonal/>
    </border>
    <border>
      <left/>
      <right style="hair">
        <color rgb="FF000000"/>
      </right>
      <top style="hair">
        <color rgb="FF000000"/>
      </top>
      <bottom style="thin">
        <color indexed="64"/>
      </bottom>
      <diagonal/>
    </border>
    <border>
      <left/>
      <right style="hair">
        <color rgb="FF000000"/>
      </right>
      <top/>
      <bottom/>
      <diagonal/>
    </border>
    <border>
      <left style="hair">
        <color indexed="64"/>
      </left>
      <right/>
      <top style="hair">
        <color rgb="FF000000"/>
      </top>
      <bottom/>
      <diagonal/>
    </border>
    <border>
      <left/>
      <right/>
      <top style="hair">
        <color rgb="FF000000"/>
      </top>
      <bottom/>
      <diagonal/>
    </border>
    <border>
      <left/>
      <right style="hair">
        <color rgb="FF000000"/>
      </right>
      <top style="hair">
        <color rgb="FF000000"/>
      </top>
      <bottom/>
      <diagonal/>
    </border>
    <border>
      <left style="thin">
        <color indexed="64"/>
      </left>
      <right style="hair">
        <color rgb="FF000000"/>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rgb="FF000000"/>
      </right>
      <top style="hair">
        <color indexed="64"/>
      </top>
      <bottom style="thin">
        <color indexed="64"/>
      </bottom>
      <diagonal/>
    </border>
    <border>
      <left/>
      <right style="hair">
        <color rgb="FF000000"/>
      </right>
      <top style="thin">
        <color indexed="64"/>
      </top>
      <bottom/>
      <diagonal/>
    </border>
    <border>
      <left style="hair">
        <color indexed="64"/>
      </left>
      <right/>
      <top style="thin">
        <color indexed="64"/>
      </top>
      <bottom style="hair">
        <color rgb="FF000000"/>
      </bottom>
      <diagonal/>
    </border>
    <border>
      <left/>
      <right/>
      <top style="thin">
        <color indexed="64"/>
      </top>
      <bottom style="hair">
        <color rgb="FF000000"/>
      </bottom>
      <diagonal/>
    </border>
    <border>
      <left style="hair">
        <color rgb="FF000000"/>
      </left>
      <right style="hair">
        <color rgb="FF000000"/>
      </right>
      <top style="thin">
        <color indexed="64"/>
      </top>
      <bottom style="hair">
        <color rgb="FF000000"/>
      </bottom>
      <diagonal/>
    </border>
    <border>
      <left/>
      <right style="thin">
        <color indexed="64"/>
      </right>
      <top style="hair">
        <color rgb="FF000000"/>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indexed="64"/>
      </left>
      <right style="hair">
        <color indexed="64"/>
      </right>
      <top style="hair">
        <color indexed="64"/>
      </top>
      <bottom style="thin">
        <color auto="1"/>
      </bottom>
      <diagonal/>
    </border>
    <border>
      <left style="hair">
        <color indexed="64"/>
      </left>
      <right style="thin">
        <color indexed="64"/>
      </right>
      <top style="hair">
        <color indexed="64"/>
      </top>
      <bottom style="thin">
        <color auto="1"/>
      </bottom>
      <diagonal/>
    </border>
    <border>
      <left style="thin">
        <color indexed="64"/>
      </left>
      <right/>
      <top/>
      <bottom style="hair">
        <color rgb="FF000000"/>
      </bottom>
      <diagonal/>
    </border>
    <border>
      <left style="hair">
        <color indexed="64"/>
      </left>
      <right/>
      <top style="thin">
        <color indexed="64"/>
      </top>
      <bottom style="thin">
        <color indexed="64"/>
      </bottom>
      <diagonal/>
    </border>
    <border>
      <left style="hair">
        <color indexed="64"/>
      </left>
      <right style="hair">
        <color rgb="FF000000"/>
      </right>
      <top style="hair">
        <color rgb="FF000000"/>
      </top>
      <bottom style="hair">
        <color rgb="FF000000"/>
      </bottom>
      <diagonal/>
    </border>
    <border>
      <left/>
      <right style="hair">
        <color indexed="64"/>
      </right>
      <top style="hair">
        <color rgb="FF000000"/>
      </top>
      <bottom style="hair">
        <color rgb="FF000000"/>
      </bottom>
      <diagonal/>
    </border>
    <border>
      <left style="hair">
        <color indexed="64"/>
      </left>
      <right/>
      <top style="hair">
        <color rgb="FF000000"/>
      </top>
      <bottom style="thin">
        <color indexed="64"/>
      </bottom>
      <diagonal/>
    </border>
    <border>
      <left style="thin">
        <color indexed="64"/>
      </left>
      <right style="hair">
        <color rgb="FF000000"/>
      </right>
      <top/>
      <bottom style="thin">
        <color indexed="64"/>
      </bottom>
      <diagonal/>
    </border>
    <border>
      <left/>
      <right style="hair">
        <color rgb="FF000000"/>
      </right>
      <top/>
      <bottom style="thin">
        <color indexed="64"/>
      </bottom>
      <diagonal/>
    </border>
    <border>
      <left style="thin">
        <color rgb="FFFF0000"/>
      </left>
      <right style="thin">
        <color rgb="FFFF0000"/>
      </right>
      <top style="thin">
        <color rgb="FFFF0000"/>
      </top>
      <bottom style="thin">
        <color rgb="FFFF0000"/>
      </bottom>
      <diagonal/>
    </border>
    <border>
      <left style="thin">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indexed="64"/>
      </left>
      <right style="thin">
        <color rgb="FF000000"/>
      </right>
      <top style="hair">
        <color rgb="FF000000"/>
      </top>
      <bottom style="hair">
        <color rgb="FF000000"/>
      </bottom>
      <diagonal/>
    </border>
    <border>
      <left style="thin">
        <color indexed="64"/>
      </left>
      <right style="thin">
        <color rgb="FF000000"/>
      </right>
      <top style="thin">
        <color indexed="64"/>
      </top>
      <bottom style="thin">
        <color indexed="64"/>
      </bottom>
      <diagonal/>
    </border>
    <border>
      <left style="thin">
        <color rgb="FF000000"/>
      </left>
      <right style="hair">
        <color rgb="FF000000"/>
      </right>
      <top style="thin">
        <color indexed="64"/>
      </top>
      <bottom style="thin">
        <color indexed="64"/>
      </bottom>
      <diagonal/>
    </border>
    <border>
      <left style="thin">
        <color indexed="64"/>
      </left>
      <right style="thin">
        <color rgb="FF000000"/>
      </right>
      <top style="hair">
        <color indexed="64"/>
      </top>
      <bottom style="hair">
        <color indexed="64"/>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indexed="64"/>
      </left>
      <right style="hair">
        <color rgb="FF000000"/>
      </right>
      <top style="hair">
        <color rgb="FF000000"/>
      </top>
      <bottom style="hair">
        <color rgb="FF000000"/>
      </bottom>
      <diagonal/>
    </border>
    <border>
      <left style="hair">
        <color rgb="FF000000"/>
      </left>
      <right style="hair">
        <color rgb="FF000000"/>
      </right>
      <top style="thin">
        <color indexed="64"/>
      </top>
      <bottom style="thin">
        <color indexed="64"/>
      </bottom>
      <diagonal/>
    </border>
    <border>
      <left style="hair">
        <color rgb="FF000000"/>
      </left>
      <right style="thin">
        <color rgb="FF000000"/>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FF0000"/>
      </right>
      <top/>
      <bottom/>
      <diagonal/>
    </border>
    <border>
      <left style="thin">
        <color rgb="FFFF0000"/>
      </left>
      <right style="thin">
        <color rgb="FFFF0000"/>
      </right>
      <top/>
      <bottom style="thin">
        <color rgb="FFFF0000"/>
      </bottom>
      <diagonal/>
    </border>
    <border>
      <left style="thin">
        <color rgb="FFFF0000"/>
      </left>
      <right style="thin">
        <color auto="1"/>
      </right>
      <top style="thin">
        <color auto="1"/>
      </top>
      <bottom style="thin">
        <color auto="1"/>
      </bottom>
      <diagonal/>
    </border>
    <border>
      <left style="thin">
        <color indexed="64"/>
      </left>
      <right style="thin">
        <color rgb="FF000000"/>
      </right>
      <top style="hair">
        <color rgb="FF000000"/>
      </top>
      <bottom style="thin">
        <color indexed="64"/>
      </bottom>
      <diagonal/>
    </border>
    <border>
      <left style="hair">
        <color indexed="64"/>
      </left>
      <right style="thin">
        <color rgb="FF000000"/>
      </right>
      <top style="thin">
        <color indexed="64"/>
      </top>
      <bottom style="hair">
        <color indexed="64"/>
      </bottom>
      <diagonal/>
    </border>
    <border>
      <left style="hair">
        <color indexed="64"/>
      </left>
      <right style="thin">
        <color rgb="FF000000"/>
      </right>
      <top style="hair">
        <color indexed="64"/>
      </top>
      <bottom style="hair">
        <color indexed="64"/>
      </bottom>
      <diagonal/>
    </border>
    <border>
      <left style="hair">
        <color indexed="64"/>
      </left>
      <right style="hair">
        <color indexed="64"/>
      </right>
      <top style="hair">
        <color indexed="64"/>
      </top>
      <bottom style="hair">
        <color rgb="FF000000"/>
      </bottom>
      <diagonal/>
    </border>
    <border>
      <left style="hair">
        <color indexed="64"/>
      </left>
      <right style="hair">
        <color indexed="64"/>
      </right>
      <top style="hair">
        <color indexed="64"/>
      </top>
      <bottom style="thin">
        <color rgb="FF000000"/>
      </bottom>
      <diagonal/>
    </border>
    <border>
      <left style="hair">
        <color indexed="64"/>
      </left>
      <right style="thin">
        <color rgb="FF000000"/>
      </right>
      <top style="hair">
        <color indexed="64"/>
      </top>
      <bottom style="hair">
        <color rgb="FF000000"/>
      </bottom>
      <diagonal/>
    </border>
    <border>
      <left style="thin">
        <color indexed="64"/>
      </left>
      <right style="hair">
        <color indexed="64"/>
      </right>
      <top style="hair">
        <color indexed="64"/>
      </top>
      <bottom/>
      <diagonal/>
    </border>
    <border>
      <left style="thin">
        <color rgb="FFFF0000"/>
      </left>
      <right style="thin">
        <color rgb="FFFF0000"/>
      </right>
      <top/>
      <bottom/>
      <diagonal/>
    </border>
    <border>
      <left style="thin">
        <color rgb="FFFF0000"/>
      </left>
      <right style="thin">
        <color auto="1"/>
      </right>
      <top/>
      <bottom style="thin">
        <color auto="1"/>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36" fillId="0" borderId="0"/>
    <xf numFmtId="44" fontId="19" fillId="0" borderId="0" applyFont="0" applyFill="0" applyBorder="0" applyAlignment="0" applyProtection="0"/>
  </cellStyleXfs>
  <cellXfs count="684">
    <xf numFmtId="0" fontId="0" fillId="0" borderId="0" xfId="0"/>
    <xf numFmtId="0" fontId="18" fillId="0" borderId="0" xfId="0" applyFont="1"/>
    <xf numFmtId="4" fontId="18" fillId="0" borderId="0" xfId="0" applyNumberFormat="1" applyFont="1"/>
    <xf numFmtId="0" fontId="20" fillId="0" borderId="12" xfId="0" applyFont="1" applyBorder="1" applyAlignment="1">
      <alignment horizontal="left" vertical="top" wrapText="1"/>
    </xf>
    <xf numFmtId="0" fontId="20" fillId="0" borderId="12" xfId="0" applyFont="1" applyBorder="1" applyAlignment="1">
      <alignment horizontal="center" vertical="top" wrapText="1"/>
    </xf>
    <xf numFmtId="4" fontId="20" fillId="0" borderId="12" xfId="0" applyNumberFormat="1" applyFont="1" applyBorder="1" applyAlignment="1">
      <alignment horizontal="right" vertical="top" wrapText="1"/>
    </xf>
    <xf numFmtId="0" fontId="21" fillId="0" borderId="12" xfId="0" applyFont="1" applyBorder="1" applyAlignment="1">
      <alignment horizontal="right" vertical="top" wrapText="1"/>
    </xf>
    <xf numFmtId="0" fontId="20" fillId="0" borderId="22" xfId="0" applyFont="1" applyBorder="1" applyAlignment="1">
      <alignment horizontal="left" vertical="top" wrapText="1"/>
    </xf>
    <xf numFmtId="4" fontId="21" fillId="0" borderId="23" xfId="0" applyNumberFormat="1" applyFont="1" applyBorder="1" applyAlignment="1">
      <alignment horizontal="right" vertical="top" wrapText="1"/>
    </xf>
    <xf numFmtId="164" fontId="23" fillId="33" borderId="24" xfId="43" applyNumberFormat="1" applyFont="1" applyFill="1" applyBorder="1" applyAlignment="1">
      <alignment horizontal="center" vertical="center"/>
    </xf>
    <xf numFmtId="0" fontId="18" fillId="0" borderId="25" xfId="0" applyFont="1" applyBorder="1"/>
    <xf numFmtId="4" fontId="18" fillId="0" borderId="25" xfId="0" applyNumberFormat="1" applyFont="1" applyBorder="1"/>
    <xf numFmtId="4" fontId="18" fillId="0" borderId="26" xfId="0" applyNumberFormat="1" applyFont="1" applyBorder="1"/>
    <xf numFmtId="0" fontId="18" fillId="0" borderId="27" xfId="0" applyFont="1" applyBorder="1"/>
    <xf numFmtId="4" fontId="18" fillId="0" borderId="28" xfId="0" applyNumberFormat="1" applyFont="1" applyBorder="1"/>
    <xf numFmtId="0" fontId="18" fillId="0" borderId="29" xfId="0" applyFont="1" applyBorder="1"/>
    <xf numFmtId="4" fontId="18" fillId="0" borderId="31" xfId="0" applyNumberFormat="1" applyFont="1" applyBorder="1"/>
    <xf numFmtId="164" fontId="29" fillId="35" borderId="32" xfId="43" applyNumberFormat="1" applyFont="1" applyFill="1" applyBorder="1" applyAlignment="1">
      <alignment horizontal="center" vertical="center" wrapText="1"/>
    </xf>
    <xf numFmtId="43" fontId="29" fillId="35" borderId="32" xfId="43" applyFont="1" applyFill="1" applyBorder="1" applyAlignment="1">
      <alignment horizontal="center" vertical="center" wrapText="1"/>
    </xf>
    <xf numFmtId="43" fontId="29" fillId="35" borderId="41" xfId="43" applyFont="1" applyFill="1" applyBorder="1" applyAlignment="1">
      <alignment horizontal="center" vertical="center"/>
    </xf>
    <xf numFmtId="9" fontId="29" fillId="35" borderId="40" xfId="42" applyFont="1" applyFill="1" applyBorder="1" applyAlignment="1">
      <alignment horizontal="center" vertical="center" wrapText="1"/>
    </xf>
    <xf numFmtId="43" fontId="26" fillId="33" borderId="32" xfId="43" applyFont="1" applyFill="1" applyBorder="1" applyAlignment="1">
      <alignment vertical="center"/>
    </xf>
    <xf numFmtId="10" fontId="30" fillId="33" borderId="33" xfId="43" applyNumberFormat="1" applyFont="1" applyFill="1" applyBorder="1" applyAlignment="1">
      <alignment vertical="center"/>
    </xf>
    <xf numFmtId="43" fontId="26" fillId="33" borderId="33" xfId="43" applyFont="1" applyFill="1" applyBorder="1" applyAlignment="1">
      <alignment vertical="center"/>
    </xf>
    <xf numFmtId="0" fontId="30" fillId="33" borderId="33" xfId="0" applyFont="1" applyFill="1" applyBorder="1" applyAlignment="1">
      <alignment horizontal="left" vertical="center" indent="1"/>
    </xf>
    <xf numFmtId="0" fontId="26" fillId="33" borderId="16" xfId="0" applyFont="1" applyFill="1" applyBorder="1" applyAlignment="1">
      <alignment horizontal="left" vertical="center" indent="3"/>
    </xf>
    <xf numFmtId="43" fontId="26" fillId="33" borderId="34" xfId="43" applyFont="1" applyFill="1" applyBorder="1" applyAlignment="1">
      <alignment vertical="center"/>
    </xf>
    <xf numFmtId="10" fontId="30" fillId="33" borderId="34" xfId="43" applyNumberFormat="1" applyFont="1" applyFill="1" applyBorder="1" applyAlignment="1">
      <alignment vertical="center"/>
    </xf>
    <xf numFmtId="164" fontId="24" fillId="35" borderId="34" xfId="43" applyNumberFormat="1" applyFont="1" applyFill="1" applyBorder="1" applyAlignment="1">
      <alignment horizontal="left" vertical="center" indent="1"/>
    </xf>
    <xf numFmtId="43" fontId="23" fillId="35" borderId="40" xfId="43" applyFont="1" applyFill="1" applyBorder="1" applyAlignment="1">
      <alignment vertical="center"/>
    </xf>
    <xf numFmtId="10" fontId="23" fillId="35" borderId="34" xfId="42" applyNumberFormat="1" applyFont="1" applyFill="1" applyBorder="1" applyAlignment="1">
      <alignment horizontal="center" vertical="center"/>
    </xf>
    <xf numFmtId="164" fontId="24" fillId="33" borderId="40" xfId="43" applyNumberFormat="1" applyFont="1" applyFill="1" applyBorder="1" applyAlignment="1">
      <alignment vertical="center"/>
    </xf>
    <xf numFmtId="43" fontId="23" fillId="33" borderId="40" xfId="43" applyFont="1" applyFill="1" applyBorder="1" applyAlignment="1">
      <alignment horizontal="right" vertical="center"/>
    </xf>
    <xf numFmtId="165" fontId="26" fillId="33" borderId="40" xfId="43" applyNumberFormat="1" applyFont="1" applyFill="1" applyBorder="1" applyAlignment="1">
      <alignment horizontal="center" vertical="center"/>
    </xf>
    <xf numFmtId="9" fontId="23" fillId="33" borderId="40" xfId="42" applyFont="1" applyFill="1" applyBorder="1" applyAlignment="1">
      <alignment horizontal="center" vertical="center"/>
    </xf>
    <xf numFmtId="164" fontId="24" fillId="35" borderId="40" xfId="43" applyNumberFormat="1" applyFont="1" applyFill="1" applyBorder="1" applyAlignment="1">
      <alignment vertical="center"/>
    </xf>
    <xf numFmtId="9" fontId="23" fillId="35" borderId="40" xfId="42" applyFont="1" applyFill="1" applyBorder="1" applyAlignment="1">
      <alignment horizontal="center" vertical="center"/>
    </xf>
    <xf numFmtId="164" fontId="24" fillId="33" borderId="0" xfId="43" applyNumberFormat="1" applyFont="1" applyFill="1" applyBorder="1" applyAlignment="1">
      <alignment horizontal="left" vertical="center" indent="1"/>
    </xf>
    <xf numFmtId="43" fontId="23" fillId="33" borderId="0" xfId="43" applyFont="1" applyFill="1" applyBorder="1" applyAlignment="1">
      <alignment horizontal="left" vertical="center"/>
    </xf>
    <xf numFmtId="43" fontId="24" fillId="33" borderId="0" xfId="43" applyFont="1" applyFill="1" applyBorder="1" applyAlignment="1">
      <alignment vertical="center"/>
    </xf>
    <xf numFmtId="164" fontId="25" fillId="33" borderId="13" xfId="43" applyNumberFormat="1" applyFont="1" applyFill="1" applyBorder="1" applyAlignment="1">
      <alignment horizontal="center" vertical="center"/>
    </xf>
    <xf numFmtId="164" fontId="24" fillId="33" borderId="16" xfId="43" applyNumberFormat="1" applyFont="1" applyFill="1" applyBorder="1" applyAlignment="1">
      <alignment horizontal="left" vertical="center" indent="1"/>
    </xf>
    <xf numFmtId="164" fontId="24" fillId="33" borderId="35" xfId="43" applyNumberFormat="1" applyFont="1" applyFill="1" applyBorder="1" applyAlignment="1">
      <alignment horizontal="left" vertical="center" indent="1"/>
    </xf>
    <xf numFmtId="168" fontId="26" fillId="33" borderId="32" xfId="43" applyNumberFormat="1" applyFont="1" applyFill="1" applyBorder="1" applyAlignment="1">
      <alignment vertical="center"/>
    </xf>
    <xf numFmtId="43" fontId="33" fillId="0" borderId="42" xfId="0" applyNumberFormat="1" applyFont="1" applyBorder="1" applyAlignment="1">
      <alignment horizontal="center"/>
    </xf>
    <xf numFmtId="0" fontId="33" fillId="0" borderId="43" xfId="0" applyFont="1" applyBorder="1" applyAlignment="1">
      <alignment horizontal="center"/>
    </xf>
    <xf numFmtId="43" fontId="26" fillId="33" borderId="16" xfId="43" applyFont="1" applyFill="1" applyBorder="1" applyAlignment="1">
      <alignment vertical="center"/>
    </xf>
    <xf numFmtId="168" fontId="26" fillId="33" borderId="33" xfId="43" applyNumberFormat="1" applyFont="1" applyFill="1" applyBorder="1" applyAlignment="1">
      <alignment vertical="center"/>
    </xf>
    <xf numFmtId="9" fontId="33" fillId="0" borderId="44" xfId="42" applyFont="1" applyBorder="1" applyAlignment="1">
      <alignment horizontal="center"/>
    </xf>
    <xf numFmtId="43" fontId="26" fillId="33" borderId="45" xfId="43" applyFont="1" applyFill="1" applyBorder="1" applyAlignment="1">
      <alignment vertical="center"/>
    </xf>
    <xf numFmtId="168" fontId="26" fillId="33" borderId="45" xfId="43" applyNumberFormat="1" applyFont="1" applyFill="1" applyBorder="1" applyAlignment="1">
      <alignment vertical="center"/>
    </xf>
    <xf numFmtId="43" fontId="33" fillId="0" borderId="45" xfId="0" applyNumberFormat="1" applyFont="1" applyBorder="1" applyAlignment="1">
      <alignment horizontal="center"/>
    </xf>
    <xf numFmtId="43" fontId="33" fillId="0" borderId="46" xfId="0" applyNumberFormat="1" applyFont="1" applyBorder="1" applyAlignment="1">
      <alignment horizontal="center"/>
    </xf>
    <xf numFmtId="43" fontId="26" fillId="33" borderId="44" xfId="43" applyFont="1" applyFill="1" applyBorder="1" applyAlignment="1">
      <alignment vertical="center"/>
    </xf>
    <xf numFmtId="43" fontId="26" fillId="33" borderId="18" xfId="43" applyFont="1" applyFill="1" applyBorder="1" applyAlignment="1">
      <alignment vertical="center"/>
    </xf>
    <xf numFmtId="43" fontId="26" fillId="33" borderId="19" xfId="43" applyFont="1" applyFill="1" applyBorder="1" applyAlignment="1">
      <alignment vertical="center"/>
    </xf>
    <xf numFmtId="168" fontId="26" fillId="33" borderId="44" xfId="43" applyNumberFormat="1" applyFont="1" applyFill="1" applyBorder="1" applyAlignment="1">
      <alignment vertical="center"/>
    </xf>
    <xf numFmtId="9" fontId="33" fillId="0" borderId="47" xfId="42" applyFont="1" applyBorder="1" applyAlignment="1">
      <alignment horizontal="center"/>
    </xf>
    <xf numFmtId="0" fontId="33" fillId="0" borderId="44" xfId="0" applyFont="1" applyBorder="1" applyAlignment="1">
      <alignment horizontal="center"/>
    </xf>
    <xf numFmtId="0" fontId="30" fillId="33" borderId="45" xfId="0" applyFont="1" applyFill="1" applyBorder="1" applyAlignment="1">
      <alignment horizontal="left" vertical="center" indent="1"/>
    </xf>
    <xf numFmtId="43" fontId="33" fillId="0" borderId="48" xfId="0" applyNumberFormat="1" applyFont="1" applyBorder="1" applyAlignment="1">
      <alignment horizontal="center"/>
    </xf>
    <xf numFmtId="0" fontId="33" fillId="0" borderId="46" xfId="0" applyFont="1" applyBorder="1" applyAlignment="1">
      <alignment horizontal="center"/>
    </xf>
    <xf numFmtId="0" fontId="30" fillId="33" borderId="44" xfId="0" applyFont="1" applyFill="1" applyBorder="1" applyAlignment="1">
      <alignment horizontal="left" vertical="center" indent="1"/>
    </xf>
    <xf numFmtId="0" fontId="26" fillId="33" borderId="18" xfId="0" applyFont="1" applyFill="1" applyBorder="1" applyAlignment="1">
      <alignment horizontal="left" vertical="center" indent="3"/>
    </xf>
    <xf numFmtId="0" fontId="26" fillId="33" borderId="19" xfId="0" applyFont="1" applyFill="1" applyBorder="1" applyAlignment="1">
      <alignment horizontal="left" vertical="center" indent="3"/>
    </xf>
    <xf numFmtId="9" fontId="33" fillId="0" borderId="46" xfId="42" applyFont="1" applyBorder="1" applyAlignment="1">
      <alignment horizontal="center"/>
    </xf>
    <xf numFmtId="43" fontId="26" fillId="33" borderId="46" xfId="43" applyFont="1" applyFill="1" applyBorder="1" applyAlignment="1">
      <alignment vertical="center"/>
    </xf>
    <xf numFmtId="168" fontId="26" fillId="33" borderId="46" xfId="43" applyNumberFormat="1" applyFont="1" applyFill="1" applyBorder="1" applyAlignment="1">
      <alignment vertical="center"/>
    </xf>
    <xf numFmtId="43" fontId="33" fillId="0" borderId="48" xfId="43" applyFont="1" applyBorder="1" applyAlignment="1" applyProtection="1">
      <alignment horizontal="center"/>
      <protection locked="0"/>
    </xf>
    <xf numFmtId="9" fontId="33" fillId="0" borderId="44" xfId="42" applyFont="1" applyBorder="1" applyAlignment="1" applyProtection="1">
      <alignment horizontal="center"/>
      <protection locked="0"/>
    </xf>
    <xf numFmtId="9" fontId="33" fillId="0" borderId="47" xfId="42" applyFont="1" applyBorder="1" applyAlignment="1" applyProtection="1">
      <alignment horizontal="center"/>
      <protection locked="0"/>
    </xf>
    <xf numFmtId="0" fontId="33" fillId="0" borderId="45" xfId="0" applyFont="1" applyBorder="1" applyAlignment="1">
      <alignment horizontal="center"/>
    </xf>
    <xf numFmtId="168" fontId="26" fillId="33" borderId="34" xfId="43" applyNumberFormat="1" applyFont="1" applyFill="1" applyBorder="1" applyAlignment="1">
      <alignment vertical="center"/>
    </xf>
    <xf numFmtId="9" fontId="33" fillId="0" borderId="34" xfId="42" applyFont="1" applyBorder="1" applyAlignment="1">
      <alignment horizontal="center"/>
    </xf>
    <xf numFmtId="43" fontId="23" fillId="0" borderId="40" xfId="43" applyFont="1" applyFill="1" applyBorder="1" applyAlignment="1">
      <alignment horizontal="center" vertical="center"/>
    </xf>
    <xf numFmtId="10" fontId="23" fillId="0" borderId="34" xfId="42" applyNumberFormat="1" applyFont="1" applyFill="1" applyBorder="1" applyAlignment="1">
      <alignment horizontal="center" vertical="center"/>
    </xf>
    <xf numFmtId="43" fontId="33" fillId="0" borderId="43" xfId="0" applyNumberFormat="1" applyFont="1" applyBorder="1" applyAlignment="1">
      <alignment horizontal="center"/>
    </xf>
    <xf numFmtId="43" fontId="23" fillId="0" borderId="40" xfId="43" applyFont="1" applyFill="1" applyBorder="1" applyAlignment="1">
      <alignment vertical="center"/>
    </xf>
    <xf numFmtId="9" fontId="23" fillId="0" borderId="40" xfId="42" applyFont="1" applyFill="1" applyBorder="1" applyAlignment="1">
      <alignment horizontal="center" vertical="center"/>
    </xf>
    <xf numFmtId="10" fontId="33" fillId="0" borderId="46" xfId="42" applyNumberFormat="1" applyFont="1" applyBorder="1" applyAlignment="1">
      <alignment horizontal="center"/>
    </xf>
    <xf numFmtId="0" fontId="0" fillId="0" borderId="40" xfId="0" applyBorder="1" applyAlignment="1">
      <alignment horizontal="center" vertical="center" wrapText="1"/>
    </xf>
    <xf numFmtId="10" fontId="33" fillId="0" borderId="51" xfId="42" applyNumberFormat="1" applyFont="1" applyBorder="1" applyAlignment="1">
      <alignment horizontal="center"/>
    </xf>
    <xf numFmtId="43" fontId="26" fillId="33" borderId="35" xfId="43" applyFont="1" applyFill="1" applyBorder="1" applyAlignment="1">
      <alignment vertical="center"/>
    </xf>
    <xf numFmtId="43" fontId="23" fillId="35" borderId="38" xfId="43" applyFont="1" applyFill="1" applyBorder="1" applyAlignment="1">
      <alignment horizontal="right" vertical="center"/>
    </xf>
    <xf numFmtId="43" fontId="23" fillId="35" borderId="40" xfId="43" applyFont="1" applyFill="1" applyBorder="1" applyAlignment="1">
      <alignment horizontal="right" vertical="center"/>
    </xf>
    <xf numFmtId="0" fontId="20" fillId="0" borderId="53" xfId="0" applyFont="1" applyBorder="1" applyAlignment="1">
      <alignment horizontal="left" vertical="top" wrapText="1"/>
    </xf>
    <xf numFmtId="0" fontId="0" fillId="0" borderId="0" xfId="0"/>
    <xf numFmtId="43" fontId="26" fillId="33" borderId="16" xfId="43" applyFont="1" applyFill="1" applyBorder="1" applyAlignment="1">
      <alignment vertical="center"/>
    </xf>
    <xf numFmtId="43" fontId="26" fillId="33" borderId="17" xfId="43" applyFont="1" applyFill="1" applyBorder="1" applyAlignment="1">
      <alignment vertical="center"/>
    </xf>
    <xf numFmtId="0" fontId="26" fillId="33" borderId="16" xfId="0" applyFont="1" applyFill="1" applyBorder="1" applyAlignment="1">
      <alignment horizontal="left" vertical="center" indent="3"/>
    </xf>
    <xf numFmtId="0" fontId="26" fillId="33" borderId="17" xfId="0" applyFont="1" applyFill="1" applyBorder="1" applyAlignment="1">
      <alignment horizontal="left" vertical="center" indent="3"/>
    </xf>
    <xf numFmtId="43" fontId="26" fillId="33" borderId="21" xfId="43" applyFont="1" applyFill="1" applyBorder="1" applyAlignment="1">
      <alignment vertical="center"/>
    </xf>
    <xf numFmtId="0" fontId="34" fillId="0" borderId="52" xfId="0" applyFont="1" applyBorder="1" applyAlignment="1">
      <alignment horizontal="left" vertical="top" wrapText="1"/>
    </xf>
    <xf numFmtId="0" fontId="34" fillId="0" borderId="53" xfId="0" applyFont="1" applyBorder="1" applyAlignment="1">
      <alignment horizontal="center" vertical="top" wrapText="1"/>
    </xf>
    <xf numFmtId="169" fontId="18" fillId="0" borderId="53" xfId="0" applyNumberFormat="1" applyFont="1" applyBorder="1" applyAlignment="1">
      <alignment horizontal="right" vertical="top" wrapText="1"/>
    </xf>
    <xf numFmtId="4" fontId="18" fillId="0" borderId="53" xfId="0" applyNumberFormat="1" applyFont="1" applyBorder="1" applyAlignment="1">
      <alignment horizontal="right" vertical="top" wrapText="1"/>
    </xf>
    <xf numFmtId="4" fontId="18" fillId="0" borderId="57" xfId="0" applyNumberFormat="1" applyFont="1" applyBorder="1" applyAlignment="1">
      <alignment horizontal="right" vertical="top" wrapText="1"/>
    </xf>
    <xf numFmtId="0" fontId="18" fillId="0" borderId="52" xfId="0" applyFont="1" applyBorder="1" applyAlignment="1">
      <alignment horizontal="right" vertical="top" wrapText="1"/>
    </xf>
    <xf numFmtId="0" fontId="18" fillId="0" borderId="53" xfId="0" applyFont="1" applyBorder="1" applyAlignment="1">
      <alignment horizontal="left" vertical="top" wrapText="1"/>
    </xf>
    <xf numFmtId="0" fontId="18" fillId="0" borderId="53" xfId="0" applyFont="1" applyBorder="1" applyAlignment="1">
      <alignment horizontal="center" vertical="top" wrapText="1"/>
    </xf>
    <xf numFmtId="4" fontId="34" fillId="0" borderId="57" xfId="0" applyNumberFormat="1" applyFont="1" applyBorder="1" applyAlignment="1">
      <alignment horizontal="right" vertical="top" wrapText="1"/>
    </xf>
    <xf numFmtId="4" fontId="34" fillId="0" borderId="54" xfId="0" applyNumberFormat="1" applyFont="1" applyBorder="1" applyAlignment="1">
      <alignment horizontal="right" vertical="top" wrapText="1"/>
    </xf>
    <xf numFmtId="0" fontId="20" fillId="0" borderId="53" xfId="0" applyFont="1" applyBorder="1" applyAlignment="1">
      <alignment horizontal="center" vertical="top" wrapText="1"/>
    </xf>
    <xf numFmtId="0" fontId="20" fillId="0" borderId="53" xfId="0" applyFont="1" applyFill="1" applyBorder="1" applyAlignment="1">
      <alignment horizontal="left" vertical="top" wrapText="1"/>
    </xf>
    <xf numFmtId="0" fontId="20" fillId="0" borderId="53" xfId="0" applyFont="1" applyFill="1" applyBorder="1" applyAlignment="1">
      <alignment horizontal="center" vertical="top" wrapText="1"/>
    </xf>
    <xf numFmtId="4" fontId="20" fillId="0" borderId="12" xfId="0" applyNumberFormat="1" applyFont="1" applyFill="1" applyBorder="1" applyAlignment="1">
      <alignment horizontal="right" vertical="top" wrapText="1"/>
    </xf>
    <xf numFmtId="0" fontId="20" fillId="0" borderId="12" xfId="0" applyFont="1" applyFill="1" applyBorder="1" applyAlignment="1">
      <alignment horizontal="center" vertical="top" wrapText="1"/>
    </xf>
    <xf numFmtId="3" fontId="18" fillId="0" borderId="52" xfId="0" applyNumberFormat="1" applyFont="1" applyBorder="1" applyAlignment="1">
      <alignment horizontal="right" vertical="top" wrapText="1"/>
    </xf>
    <xf numFmtId="43" fontId="30" fillId="33" borderId="33" xfId="43" applyFont="1" applyFill="1" applyBorder="1" applyAlignment="1">
      <alignment horizontal="left" vertical="center"/>
    </xf>
    <xf numFmtId="43" fontId="26" fillId="33" borderId="16" xfId="43" applyFont="1" applyFill="1" applyBorder="1" applyAlignment="1">
      <alignment horizontal="left" vertical="center"/>
    </xf>
    <xf numFmtId="43" fontId="0" fillId="0" borderId="17" xfId="43" applyFont="1" applyBorder="1" applyProtection="1"/>
    <xf numFmtId="43" fontId="26" fillId="33" borderId="13" xfId="43" applyFont="1" applyFill="1" applyBorder="1" applyAlignment="1">
      <alignment vertical="center"/>
    </xf>
    <xf numFmtId="0" fontId="26" fillId="33" borderId="20" xfId="0" applyFont="1" applyFill="1" applyBorder="1" applyAlignment="1">
      <alignment horizontal="left" vertical="center" indent="3"/>
    </xf>
    <xf numFmtId="0" fontId="26" fillId="33" borderId="21" xfId="0" applyFont="1" applyFill="1" applyBorder="1" applyAlignment="1">
      <alignment horizontal="left" vertical="center" indent="3"/>
    </xf>
    <xf numFmtId="170" fontId="18" fillId="0" borderId="53" xfId="0" applyNumberFormat="1" applyFont="1" applyBorder="1" applyAlignment="1">
      <alignment horizontal="right" vertical="top" wrapText="1"/>
    </xf>
    <xf numFmtId="0" fontId="0" fillId="0" borderId="0" xfId="0"/>
    <xf numFmtId="0" fontId="26" fillId="33" borderId="20" xfId="0" applyFont="1" applyFill="1" applyBorder="1" applyAlignment="1">
      <alignment horizontal="left" vertical="center" indent="3"/>
    </xf>
    <xf numFmtId="0" fontId="26" fillId="33" borderId="21" xfId="0" applyFont="1" applyFill="1" applyBorder="1" applyAlignment="1">
      <alignment horizontal="left" vertical="center" indent="3"/>
    </xf>
    <xf numFmtId="0" fontId="26" fillId="33" borderId="16" xfId="0" applyFont="1" applyFill="1" applyBorder="1" applyAlignment="1">
      <alignment horizontal="left" vertical="center" indent="3"/>
    </xf>
    <xf numFmtId="0" fontId="26" fillId="33" borderId="17" xfId="0" applyFont="1" applyFill="1" applyBorder="1" applyAlignment="1">
      <alignment horizontal="left" vertical="center" indent="3"/>
    </xf>
    <xf numFmtId="43" fontId="26" fillId="33" borderId="16" xfId="43" applyFont="1" applyFill="1" applyBorder="1" applyAlignment="1">
      <alignment vertical="center"/>
    </xf>
    <xf numFmtId="43" fontId="26" fillId="33" borderId="17" xfId="43" applyFont="1" applyFill="1" applyBorder="1" applyAlignment="1">
      <alignment vertical="center"/>
    </xf>
    <xf numFmtId="0" fontId="26" fillId="33" borderId="21" xfId="0" applyFont="1" applyFill="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1" xfId="0" applyBorder="1" applyAlignment="1">
      <alignment horizontal="left" vertical="center" indent="3"/>
    </xf>
    <xf numFmtId="43" fontId="26" fillId="33" borderId="20" xfId="43" applyFont="1" applyFill="1" applyBorder="1" applyAlignment="1">
      <alignment vertical="center" wrapText="1"/>
    </xf>
    <xf numFmtId="43" fontId="26" fillId="33" borderId="21" xfId="43" applyFont="1" applyFill="1" applyBorder="1" applyAlignment="1">
      <alignment vertical="center" wrapText="1"/>
    </xf>
    <xf numFmtId="43" fontId="26" fillId="33" borderId="45" xfId="0" applyNumberFormat="1" applyFont="1" applyFill="1" applyBorder="1" applyAlignment="1">
      <alignment horizontal="left" vertical="center" indent="1"/>
    </xf>
    <xf numFmtId="43" fontId="26" fillId="33" borderId="20" xfId="0" applyNumberFormat="1" applyFont="1" applyFill="1" applyBorder="1" applyAlignment="1">
      <alignment horizontal="left" vertical="center" indent="3"/>
    </xf>
    <xf numFmtId="0" fontId="26" fillId="33" borderId="61" xfId="0" applyFont="1" applyFill="1" applyBorder="1" applyAlignment="1">
      <alignment horizontal="left" vertical="center" indent="3"/>
    </xf>
    <xf numFmtId="43" fontId="30" fillId="33" borderId="45" xfId="43" applyFont="1" applyFill="1" applyBorder="1" applyAlignment="1">
      <alignment vertical="center"/>
    </xf>
    <xf numFmtId="43" fontId="30" fillId="33" borderId="33" xfId="43" applyFont="1" applyFill="1" applyBorder="1" applyAlignment="1">
      <alignment vertical="center"/>
    </xf>
    <xf numFmtId="43" fontId="30" fillId="33" borderId="44" xfId="43" applyFont="1" applyFill="1" applyBorder="1" applyAlignment="1">
      <alignment vertical="center"/>
    </xf>
    <xf numFmtId="0" fontId="0" fillId="0" borderId="0" xfId="0"/>
    <xf numFmtId="0" fontId="18" fillId="0" borderId="58" xfId="0" applyFont="1" applyBorder="1" applyAlignment="1">
      <alignment horizontal="right" vertical="top" wrapText="1"/>
    </xf>
    <xf numFmtId="0" fontId="18" fillId="0" borderId="55" xfId="0" applyFont="1" applyBorder="1" applyAlignment="1">
      <alignment horizontal="right" vertical="top" wrapText="1"/>
    </xf>
    <xf numFmtId="0" fontId="34" fillId="0" borderId="56" xfId="0" applyFont="1" applyBorder="1" applyAlignment="1">
      <alignment horizontal="left" vertical="top" wrapText="1"/>
    </xf>
    <xf numFmtId="0" fontId="34" fillId="0" borderId="53" xfId="0" applyFont="1" applyBorder="1" applyAlignment="1">
      <alignment horizontal="left" vertical="top" wrapText="1"/>
    </xf>
    <xf numFmtId="0" fontId="34" fillId="0" borderId="64" xfId="0" applyFont="1" applyBorder="1" applyAlignment="1">
      <alignment horizontal="left" vertical="top" wrapText="1"/>
    </xf>
    <xf numFmtId="0" fontId="34" fillId="0" borderId="65" xfId="0" applyFont="1" applyBorder="1" applyAlignment="1">
      <alignment horizontal="left" vertical="top" wrapText="1"/>
    </xf>
    <xf numFmtId="0" fontId="34" fillId="0" borderId="65" xfId="0" applyFont="1" applyBorder="1" applyAlignment="1">
      <alignment horizontal="center" vertical="top" wrapText="1"/>
    </xf>
    <xf numFmtId="169" fontId="18" fillId="0" borderId="65" xfId="0" applyNumberFormat="1" applyFont="1" applyBorder="1" applyAlignment="1">
      <alignment horizontal="right" vertical="top" wrapText="1"/>
    </xf>
    <xf numFmtId="4" fontId="18" fillId="0" borderId="65" xfId="0" applyNumberFormat="1" applyFont="1" applyBorder="1" applyAlignment="1">
      <alignment horizontal="right" vertical="top" wrapText="1"/>
    </xf>
    <xf numFmtId="4" fontId="18" fillId="0" borderId="66" xfId="0" applyNumberFormat="1" applyFont="1" applyBorder="1" applyAlignment="1">
      <alignment horizontal="right" vertical="top" wrapText="1"/>
    </xf>
    <xf numFmtId="0" fontId="18" fillId="0" borderId="67" xfId="0" applyFont="1" applyBorder="1" applyAlignment="1">
      <alignment horizontal="right" vertical="top" wrapText="1"/>
    </xf>
    <xf numFmtId="171" fontId="18" fillId="0" borderId="53" xfId="0" applyNumberFormat="1" applyFont="1" applyBorder="1" applyAlignment="1">
      <alignment horizontal="right" vertical="top" wrapText="1"/>
    </xf>
    <xf numFmtId="4" fontId="18" fillId="0" borderId="68" xfId="0" applyNumberFormat="1" applyFont="1" applyBorder="1" applyAlignment="1">
      <alignment horizontal="right" vertical="top" wrapText="1"/>
    </xf>
    <xf numFmtId="4" fontId="34" fillId="0" borderId="37" xfId="0" applyNumberFormat="1" applyFont="1" applyBorder="1" applyAlignment="1">
      <alignment horizontal="right" vertical="top" wrapText="1"/>
    </xf>
    <xf numFmtId="0" fontId="18" fillId="0" borderId="76" xfId="0" applyFont="1" applyBorder="1" applyAlignment="1">
      <alignment horizontal="right" vertical="top" wrapText="1"/>
    </xf>
    <xf numFmtId="0" fontId="18" fillId="0" borderId="72" xfId="0" applyFont="1" applyBorder="1" applyAlignment="1">
      <alignment horizontal="left" vertical="top" wrapText="1"/>
    </xf>
    <xf numFmtId="0" fontId="18" fillId="0" borderId="72" xfId="0" applyFont="1" applyBorder="1" applyAlignment="1">
      <alignment horizontal="center" vertical="top" wrapText="1"/>
    </xf>
    <xf numFmtId="169" fontId="18" fillId="0" borderId="72" xfId="0" applyNumberFormat="1" applyFont="1" applyBorder="1" applyAlignment="1">
      <alignment horizontal="right" vertical="top" wrapText="1"/>
    </xf>
    <xf numFmtId="4" fontId="18" fillId="0" borderId="72" xfId="0" applyNumberFormat="1" applyFont="1" applyBorder="1" applyAlignment="1">
      <alignment horizontal="right" vertical="top" wrapText="1"/>
    </xf>
    <xf numFmtId="0" fontId="34" fillId="0" borderId="64" xfId="0" applyFont="1" applyFill="1" applyBorder="1" applyAlignment="1">
      <alignment horizontal="left" vertical="top" wrapText="1"/>
    </xf>
    <xf numFmtId="0" fontId="34" fillId="0" borderId="65" xfId="0" applyFont="1" applyFill="1" applyBorder="1" applyAlignment="1">
      <alignment horizontal="left" vertical="top" wrapText="1"/>
    </xf>
    <xf numFmtId="0" fontId="34" fillId="0" borderId="65" xfId="0" applyFont="1" applyFill="1" applyBorder="1" applyAlignment="1">
      <alignment horizontal="center" vertical="top" wrapText="1"/>
    </xf>
    <xf numFmtId="169" fontId="18" fillId="0" borderId="65" xfId="0" applyNumberFormat="1" applyFont="1" applyFill="1" applyBorder="1" applyAlignment="1">
      <alignment horizontal="right" vertical="top" wrapText="1"/>
    </xf>
    <xf numFmtId="4" fontId="18" fillId="0" borderId="65" xfId="0" applyNumberFormat="1" applyFont="1" applyFill="1" applyBorder="1" applyAlignment="1">
      <alignment horizontal="right" vertical="top" wrapText="1"/>
    </xf>
    <xf numFmtId="4" fontId="18" fillId="0" borderId="66" xfId="0" applyNumberFormat="1" applyFont="1" applyFill="1" applyBorder="1" applyAlignment="1">
      <alignment horizontal="right" vertical="top" wrapText="1"/>
    </xf>
    <xf numFmtId="0" fontId="18" fillId="0" borderId="67" xfId="0" applyFont="1" applyFill="1" applyBorder="1" applyAlignment="1">
      <alignment horizontal="right" vertical="top" wrapText="1"/>
    </xf>
    <xf numFmtId="0" fontId="18" fillId="0" borderId="53" xfId="0" applyFont="1" applyFill="1" applyBorder="1" applyAlignment="1">
      <alignment horizontal="left" vertical="top" wrapText="1"/>
    </xf>
    <xf numFmtId="0" fontId="18" fillId="0" borderId="53" xfId="0" applyFont="1" applyFill="1" applyBorder="1" applyAlignment="1">
      <alignment horizontal="center" vertical="top" wrapText="1"/>
    </xf>
    <xf numFmtId="169" fontId="18" fillId="0" borderId="53" xfId="0" applyNumberFormat="1" applyFont="1" applyFill="1" applyBorder="1" applyAlignment="1">
      <alignment horizontal="right" vertical="top" wrapText="1"/>
    </xf>
    <xf numFmtId="4" fontId="18" fillId="0" borderId="53" xfId="0" applyNumberFormat="1" applyFont="1" applyFill="1" applyBorder="1" applyAlignment="1">
      <alignment horizontal="right" vertical="top" wrapText="1"/>
    </xf>
    <xf numFmtId="4" fontId="18" fillId="0" borderId="68" xfId="0" applyNumberFormat="1" applyFont="1" applyFill="1" applyBorder="1" applyAlignment="1">
      <alignment horizontal="right" vertical="top" wrapText="1"/>
    </xf>
    <xf numFmtId="4" fontId="34" fillId="0" borderId="37" xfId="0" applyNumberFormat="1" applyFont="1" applyFill="1" applyBorder="1" applyAlignment="1">
      <alignment horizontal="right" vertical="top" wrapText="1"/>
    </xf>
    <xf numFmtId="0" fontId="18" fillId="0" borderId="73" xfId="0" applyFont="1" applyBorder="1" applyAlignment="1">
      <alignment horizontal="right" vertical="top" wrapText="1"/>
    </xf>
    <xf numFmtId="0" fontId="18" fillId="0" borderId="74" xfId="0" applyFont="1" applyBorder="1" applyAlignment="1">
      <alignment horizontal="right" vertical="top" wrapText="1"/>
    </xf>
    <xf numFmtId="4" fontId="34" fillId="0" borderId="0" xfId="0" applyNumberFormat="1" applyFont="1" applyBorder="1" applyAlignment="1">
      <alignment horizontal="right" vertical="top" wrapText="1"/>
    </xf>
    <xf numFmtId="0" fontId="34" fillId="0" borderId="83" xfId="0" applyFont="1" applyBorder="1" applyAlignment="1">
      <alignment horizontal="left" vertical="top" wrapText="1"/>
    </xf>
    <xf numFmtId="4" fontId="34" fillId="0" borderId="84" xfId="0" applyNumberFormat="1" applyFont="1" applyBorder="1" applyAlignment="1">
      <alignment horizontal="right" vertical="top" wrapText="1"/>
    </xf>
    <xf numFmtId="0" fontId="0" fillId="0" borderId="0" xfId="0" applyFill="1"/>
    <xf numFmtId="4" fontId="34" fillId="0" borderId="68" xfId="0" applyNumberFormat="1" applyFont="1" applyBorder="1" applyAlignment="1">
      <alignment horizontal="right" vertical="top" wrapText="1"/>
    </xf>
    <xf numFmtId="0" fontId="34" fillId="0" borderId="86" xfId="0" applyFont="1" applyFill="1" applyBorder="1" applyAlignment="1">
      <alignment vertical="top" wrapText="1"/>
    </xf>
    <xf numFmtId="0" fontId="34" fillId="0" borderId="87" xfId="0" applyFont="1" applyFill="1" applyBorder="1" applyAlignment="1">
      <alignment horizontal="left" vertical="top" wrapText="1"/>
    </xf>
    <xf numFmtId="0" fontId="34" fillId="0" borderId="87" xfId="0" applyFont="1" applyFill="1" applyBorder="1" applyAlignment="1">
      <alignment horizontal="center" vertical="top" wrapText="1"/>
    </xf>
    <xf numFmtId="169" fontId="18" fillId="0" borderId="87" xfId="0" applyNumberFormat="1" applyFont="1" applyFill="1" applyBorder="1" applyAlignment="1">
      <alignment horizontal="right" vertical="top" wrapText="1"/>
    </xf>
    <xf numFmtId="4" fontId="18" fillId="0" borderId="87" xfId="0" applyNumberFormat="1" applyFont="1" applyFill="1" applyBorder="1" applyAlignment="1">
      <alignment horizontal="right" vertical="top" wrapText="1"/>
    </xf>
    <xf numFmtId="4" fontId="18" fillId="0" borderId="88" xfId="0" applyNumberFormat="1" applyFont="1" applyFill="1" applyBorder="1" applyAlignment="1">
      <alignment horizontal="right" vertical="top" wrapText="1"/>
    </xf>
    <xf numFmtId="0" fontId="18" fillId="0" borderId="89" xfId="0" applyFont="1" applyFill="1" applyBorder="1" applyAlignment="1">
      <alignment horizontal="right" vertical="top" wrapText="1"/>
    </xf>
    <xf numFmtId="0" fontId="18" fillId="0" borderId="90" xfId="0" applyFont="1" applyFill="1" applyBorder="1" applyAlignment="1">
      <alignment horizontal="left" vertical="top" wrapText="1"/>
    </xf>
    <xf numFmtId="0" fontId="18" fillId="0" borderId="90" xfId="0" applyFont="1" applyFill="1" applyBorder="1" applyAlignment="1">
      <alignment horizontal="center" vertical="top" wrapText="1"/>
    </xf>
    <xf numFmtId="169" fontId="18" fillId="0" borderId="90" xfId="0" applyNumberFormat="1" applyFont="1" applyFill="1" applyBorder="1" applyAlignment="1">
      <alignment horizontal="right" vertical="top" wrapText="1"/>
    </xf>
    <xf numFmtId="4" fontId="18" fillId="0" borderId="90" xfId="0" applyNumberFormat="1" applyFont="1" applyFill="1" applyBorder="1" applyAlignment="1">
      <alignment horizontal="right" vertical="top" wrapText="1"/>
    </xf>
    <xf numFmtId="4" fontId="18" fillId="0" borderId="91" xfId="0" applyNumberFormat="1" applyFont="1" applyFill="1" applyBorder="1" applyAlignment="1">
      <alignment horizontal="right" vertical="top" wrapText="1"/>
    </xf>
    <xf numFmtId="4" fontId="34" fillId="0" borderId="94" xfId="0" applyNumberFormat="1" applyFont="1" applyFill="1" applyBorder="1" applyAlignment="1">
      <alignment horizontal="right" vertical="top" wrapText="1"/>
    </xf>
    <xf numFmtId="0" fontId="18" fillId="0" borderId="95" xfId="0" applyFont="1" applyFill="1" applyBorder="1" applyAlignment="1">
      <alignment horizontal="right" vertical="top" wrapText="1"/>
    </xf>
    <xf numFmtId="0" fontId="18" fillId="0" borderId="65" xfId="0" applyFont="1" applyFill="1" applyBorder="1" applyAlignment="1">
      <alignment horizontal="left" vertical="top" wrapText="1"/>
    </xf>
    <xf numFmtId="0" fontId="18" fillId="0" borderId="54" xfId="0" applyFont="1" applyFill="1" applyBorder="1" applyAlignment="1">
      <alignment horizontal="center" vertical="top" wrapText="1"/>
    </xf>
    <xf numFmtId="4" fontId="34" fillId="0" borderId="37" xfId="0" applyNumberFormat="1" applyFont="1" applyBorder="1" applyAlignment="1">
      <alignment horizontal="right" vertical="top"/>
    </xf>
    <xf numFmtId="0" fontId="0" fillId="0" borderId="0" xfId="0" applyAlignment="1">
      <alignment vertical="top"/>
    </xf>
    <xf numFmtId="4" fontId="34" fillId="0" borderId="11" xfId="0" applyNumberFormat="1" applyFont="1" applyBorder="1" applyAlignment="1">
      <alignment horizontal="right" vertical="top" wrapText="1"/>
    </xf>
    <xf numFmtId="3" fontId="18" fillId="0" borderId="67" xfId="0" applyNumberFormat="1" applyFont="1" applyBorder="1" applyAlignment="1">
      <alignment horizontal="right" vertical="top" wrapText="1"/>
    </xf>
    <xf numFmtId="170" fontId="18" fillId="0" borderId="65" xfId="0" applyNumberFormat="1" applyFont="1" applyBorder="1" applyAlignment="1">
      <alignment horizontal="right" vertical="top" wrapText="1"/>
    </xf>
    <xf numFmtId="4" fontId="34" fillId="0" borderId="37" xfId="0" applyNumberFormat="1" applyFont="1" applyFill="1" applyBorder="1" applyAlignment="1">
      <alignment horizontal="right" vertical="top"/>
    </xf>
    <xf numFmtId="0" fontId="34" fillId="0" borderId="97" xfId="0" applyFont="1" applyBorder="1" applyAlignment="1">
      <alignment horizontal="left" vertical="top" wrapText="1"/>
    </xf>
    <xf numFmtId="0" fontId="34" fillId="0" borderId="56" xfId="0" applyFont="1" applyBorder="1" applyAlignment="1">
      <alignment horizontal="center" vertical="top" wrapText="1"/>
    </xf>
    <xf numFmtId="169" fontId="18" fillId="0" borderId="56" xfId="0" applyNumberFormat="1" applyFont="1" applyBorder="1" applyAlignment="1">
      <alignment horizontal="right" vertical="top" wrapText="1"/>
    </xf>
    <xf numFmtId="4" fontId="18" fillId="0" borderId="56" xfId="0" applyNumberFormat="1" applyFont="1" applyBorder="1" applyAlignment="1">
      <alignment horizontal="right" vertical="top" wrapText="1"/>
    </xf>
    <xf numFmtId="4" fontId="18" fillId="0" borderId="98" xfId="0" applyNumberFormat="1" applyFont="1" applyBorder="1" applyAlignment="1">
      <alignment horizontal="right" vertical="top" wrapText="1"/>
    </xf>
    <xf numFmtId="4" fontId="34" fillId="0" borderId="62" xfId="0" applyNumberFormat="1" applyFont="1" applyBorder="1" applyAlignment="1">
      <alignment horizontal="right" vertical="top" wrapText="1"/>
    </xf>
    <xf numFmtId="0" fontId="18" fillId="0" borderId="10" xfId="0" applyFont="1" applyBorder="1" applyAlignment="1">
      <alignment horizontal="right" vertical="top" wrapText="1"/>
    </xf>
    <xf numFmtId="0" fontId="18" fillId="0" borderId="0" xfId="0" applyFont="1" applyBorder="1" applyAlignment="1">
      <alignment horizontal="right" vertical="top" wrapText="1"/>
    </xf>
    <xf numFmtId="0" fontId="18" fillId="0" borderId="100" xfId="0" applyFont="1" applyBorder="1" applyAlignment="1">
      <alignment horizontal="right" vertical="top" wrapText="1"/>
    </xf>
    <xf numFmtId="0" fontId="18" fillId="0" borderId="101" xfId="0" applyFont="1" applyBorder="1" applyAlignment="1">
      <alignment horizontal="left" vertical="top" wrapText="1"/>
    </xf>
    <xf numFmtId="0" fontId="18" fillId="0" borderId="101" xfId="0" applyFont="1" applyBorder="1" applyAlignment="1">
      <alignment horizontal="center" vertical="top" wrapText="1"/>
    </xf>
    <xf numFmtId="169" fontId="18" fillId="0" borderId="101" xfId="0" applyNumberFormat="1" applyFont="1" applyBorder="1" applyAlignment="1">
      <alignment horizontal="right" vertical="top" wrapText="1"/>
    </xf>
    <xf numFmtId="4" fontId="18" fillId="0" borderId="101" xfId="0" applyNumberFormat="1" applyFont="1" applyBorder="1" applyAlignment="1">
      <alignment horizontal="right" vertical="top" wrapText="1"/>
    </xf>
    <xf numFmtId="4" fontId="18" fillId="0" borderId="37" xfId="0" applyNumberFormat="1" applyFont="1" applyBorder="1" applyAlignment="1">
      <alignment horizontal="right" vertical="top" wrapText="1"/>
    </xf>
    <xf numFmtId="1" fontId="18" fillId="0" borderId="67" xfId="43" applyNumberFormat="1" applyFont="1" applyBorder="1" applyAlignment="1">
      <alignment horizontal="right" vertical="top" wrapText="1"/>
    </xf>
    <xf numFmtId="0" fontId="34" fillId="0" borderId="65" xfId="0" applyFont="1" applyBorder="1" applyAlignment="1">
      <alignment horizontal="center" vertical="top" wrapText="1"/>
    </xf>
    <xf numFmtId="0" fontId="18" fillId="0" borderId="0" xfId="0" applyFont="1" applyAlignment="1">
      <alignment vertical="center"/>
    </xf>
    <xf numFmtId="10" fontId="21" fillId="0" borderId="17" xfId="42" applyNumberFormat="1" applyFont="1" applyFill="1" applyBorder="1" applyAlignment="1">
      <alignment horizontal="center" vertical="center" wrapText="1"/>
    </xf>
    <xf numFmtId="0" fontId="20" fillId="0" borderId="12" xfId="0" applyFont="1" applyBorder="1" applyAlignment="1">
      <alignment horizontal="left" vertical="center" wrapText="1"/>
    </xf>
    <xf numFmtId="0" fontId="20" fillId="0" borderId="12" xfId="0" applyFont="1" applyFill="1" applyBorder="1" applyAlignment="1">
      <alignment horizontal="left" vertical="center" wrapText="1"/>
    </xf>
    <xf numFmtId="0" fontId="20" fillId="0" borderId="53" xfId="0" applyFont="1" applyBorder="1" applyAlignment="1">
      <alignment horizontal="left" vertical="center" wrapText="1"/>
    </xf>
    <xf numFmtId="0" fontId="20" fillId="0" borderId="22" xfId="0" applyFont="1" applyBorder="1" applyAlignment="1">
      <alignment horizontal="left" vertical="center" wrapText="1"/>
    </xf>
    <xf numFmtId="43" fontId="26" fillId="33" borderId="20" xfId="43" applyFont="1" applyFill="1" applyBorder="1" applyAlignment="1">
      <alignment vertical="center"/>
    </xf>
    <xf numFmtId="0" fontId="18" fillId="0" borderId="12" xfId="0" applyFont="1" applyBorder="1" applyAlignment="1">
      <alignment horizontal="left" vertical="top" wrapText="1"/>
    </xf>
    <xf numFmtId="0" fontId="26" fillId="33" borderId="20" xfId="0" applyFont="1" applyFill="1" applyBorder="1" applyAlignment="1">
      <alignment horizontal="left" vertical="center" wrapText="1"/>
    </xf>
    <xf numFmtId="0" fontId="21" fillId="0" borderId="14" xfId="0" applyFont="1" applyBorder="1" applyAlignment="1">
      <alignment horizontal="left" vertical="center" wrapText="1"/>
    </xf>
    <xf numFmtId="0" fontId="22" fillId="0" borderId="14" xfId="0" applyFont="1" applyBorder="1" applyAlignment="1">
      <alignment horizontal="left" vertical="center" wrapText="1"/>
    </xf>
    <xf numFmtId="0" fontId="21" fillId="0" borderId="0" xfId="0" applyFont="1" applyAlignment="1">
      <alignment horizontal="left" vertical="center" wrapText="1"/>
    </xf>
    <xf numFmtId="0" fontId="0" fillId="0" borderId="0" xfId="0"/>
    <xf numFmtId="0" fontId="0" fillId="0" borderId="0" xfId="0" applyAlignment="1">
      <alignment vertical="center"/>
    </xf>
    <xf numFmtId="0" fontId="0" fillId="0" borderId="0" xfId="0"/>
    <xf numFmtId="0" fontId="18" fillId="0" borderId="0" xfId="0" applyFont="1" applyAlignment="1">
      <alignment horizontal="center" vertical="center"/>
    </xf>
    <xf numFmtId="0" fontId="18" fillId="0" borderId="13" xfId="0" applyFont="1" applyBorder="1" applyAlignment="1">
      <alignment horizontal="center" vertical="center"/>
    </xf>
    <xf numFmtId="0" fontId="21" fillId="0" borderId="14" xfId="0" applyFont="1" applyBorder="1" applyAlignment="1">
      <alignment horizontal="center" vertical="center" wrapText="1"/>
    </xf>
    <xf numFmtId="10" fontId="21" fillId="0" borderId="15" xfId="42" applyNumberFormat="1" applyFont="1" applyFill="1" applyBorder="1" applyAlignment="1">
      <alignment horizontal="center" vertical="center" wrapText="1"/>
    </xf>
    <xf numFmtId="0" fontId="20" fillId="0" borderId="16" xfId="0" applyFont="1" applyBorder="1" applyAlignment="1">
      <alignment horizontal="center" vertical="center"/>
    </xf>
    <xf numFmtId="0" fontId="21" fillId="0" borderId="0" xfId="0" applyFont="1" applyAlignment="1">
      <alignment horizontal="center" vertical="center" wrapText="1"/>
    </xf>
    <xf numFmtId="0" fontId="22" fillId="0" borderId="0" xfId="0" applyFont="1" applyAlignment="1">
      <alignment horizontal="left" vertical="center" wrapText="1"/>
    </xf>
    <xf numFmtId="10" fontId="21" fillId="0" borderId="102" xfId="42" applyNumberFormat="1" applyFont="1" applyFill="1" applyBorder="1" applyAlignment="1">
      <alignment horizontal="center" vertical="center" wrapText="1"/>
    </xf>
    <xf numFmtId="0" fontId="21" fillId="0" borderId="16" xfId="0" applyFont="1" applyBorder="1" applyAlignment="1">
      <alignment vertical="center"/>
    </xf>
    <xf numFmtId="0" fontId="21" fillId="0" borderId="0" xfId="0" applyFont="1" applyAlignment="1">
      <alignment vertical="center"/>
    </xf>
    <xf numFmtId="0" fontId="21" fillId="0" borderId="17" xfId="0" applyFont="1" applyBorder="1" applyAlignment="1">
      <alignment vertical="center"/>
    </xf>
    <xf numFmtId="0" fontId="38" fillId="38" borderId="102" xfId="0" applyFont="1" applyFill="1" applyBorder="1" applyAlignment="1">
      <alignment horizontal="center" vertical="center" wrapText="1"/>
    </xf>
    <xf numFmtId="4" fontId="38" fillId="38" borderId="102" xfId="0" applyNumberFormat="1" applyFont="1" applyFill="1" applyBorder="1" applyAlignment="1">
      <alignment horizontal="center" vertical="center" wrapText="1"/>
    </xf>
    <xf numFmtId="4" fontId="38" fillId="38" borderId="102" xfId="0" applyNumberFormat="1" applyFont="1" applyFill="1" applyBorder="1" applyAlignment="1">
      <alignment horizontal="center" vertical="center"/>
    </xf>
    <xf numFmtId="0" fontId="21" fillId="39" borderId="103" xfId="0" applyFont="1" applyFill="1" applyBorder="1" applyAlignment="1">
      <alignment horizontal="center" vertical="center" wrapText="1"/>
    </xf>
    <xf numFmtId="0" fontId="21" fillId="39" borderId="104" xfId="0" applyFont="1" applyFill="1" applyBorder="1" applyAlignment="1">
      <alignment horizontal="left" vertical="center" wrapText="1"/>
    </xf>
    <xf numFmtId="0" fontId="21" fillId="39" borderId="105" xfId="0" applyFont="1" applyFill="1" applyBorder="1" applyAlignment="1">
      <alignment horizontal="left" vertical="center" wrapText="1"/>
    </xf>
    <xf numFmtId="0" fontId="21" fillId="34" borderId="22" xfId="0" applyFont="1" applyFill="1" applyBorder="1" applyAlignment="1">
      <alignment horizontal="center" vertical="center" wrapText="1"/>
    </xf>
    <xf numFmtId="0" fontId="21" fillId="34" borderId="12"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39" fillId="37" borderId="107" xfId="0" applyFont="1" applyFill="1" applyBorder="1" applyAlignment="1">
      <alignment horizontal="center" vertical="center"/>
    </xf>
    <xf numFmtId="0" fontId="21" fillId="39" borderId="108" xfId="0" applyFont="1" applyFill="1" applyBorder="1" applyAlignment="1">
      <alignment horizontal="center" vertical="center" wrapText="1"/>
    </xf>
    <xf numFmtId="0" fontId="21" fillId="34" borderId="103" xfId="0" applyFont="1" applyFill="1" applyBorder="1" applyAlignment="1">
      <alignment horizontal="center" vertical="center" wrapText="1"/>
    </xf>
    <xf numFmtId="0" fontId="21" fillId="35" borderId="22" xfId="0" applyFont="1" applyFill="1" applyBorder="1" applyAlignment="1">
      <alignment horizontal="center" vertical="center" wrapText="1"/>
    </xf>
    <xf numFmtId="0" fontId="20" fillId="0" borderId="22" xfId="0" applyFont="1" applyBorder="1" applyAlignment="1">
      <alignment horizontal="center" vertical="center" wrapText="1"/>
    </xf>
    <xf numFmtId="0" fontId="21" fillId="0" borderId="22" xfId="0" applyFont="1" applyBorder="1" applyAlignment="1">
      <alignment horizontal="center" vertical="center" wrapText="1"/>
    </xf>
    <xf numFmtId="0" fontId="38" fillId="37" borderId="108" xfId="0" applyFont="1" applyFill="1" applyBorder="1" applyAlignment="1">
      <alignment horizontal="center" vertical="center" wrapText="1"/>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20" fillId="0" borderId="111" xfId="0" applyFont="1" applyBorder="1" applyAlignment="1">
      <alignment horizontal="center" vertical="center" wrapText="1"/>
    </xf>
    <xf numFmtId="0" fontId="21" fillId="39" borderId="22" xfId="0" applyFont="1" applyFill="1" applyBorder="1" applyAlignment="1">
      <alignment horizontal="center" vertical="center" wrapText="1"/>
    </xf>
    <xf numFmtId="0" fontId="20" fillId="0" borderId="112" xfId="0" applyFont="1" applyBorder="1" applyAlignment="1">
      <alignment horizontal="center" vertical="center" wrapText="1"/>
    </xf>
    <xf numFmtId="0" fontId="40" fillId="37" borderId="108" xfId="0" applyFont="1" applyFill="1" applyBorder="1" applyAlignment="1">
      <alignment horizontal="center" vertical="center" wrapText="1"/>
    </xf>
    <xf numFmtId="0" fontId="38" fillId="37" borderId="113" xfId="0" applyFont="1" applyFill="1" applyBorder="1" applyAlignment="1">
      <alignment horizontal="right" vertical="center" wrapText="1"/>
    </xf>
    <xf numFmtId="0" fontId="40" fillId="37" borderId="113" xfId="0" applyFont="1" applyFill="1" applyBorder="1" applyAlignment="1">
      <alignment horizontal="center" vertical="center" wrapText="1"/>
    </xf>
    <xf numFmtId="4" fontId="40" fillId="37" borderId="113" xfId="0" applyNumberFormat="1" applyFont="1" applyFill="1" applyBorder="1" applyAlignment="1">
      <alignment horizontal="right" vertical="center" wrapText="1"/>
    </xf>
    <xf numFmtId="4" fontId="38" fillId="37" borderId="114" xfId="0" applyNumberFormat="1" applyFont="1" applyFill="1" applyBorder="1" applyAlignment="1">
      <alignment horizontal="right" vertical="center" wrapText="1"/>
    </xf>
    <xf numFmtId="0" fontId="21" fillId="39" borderId="113" xfId="0" applyFont="1" applyFill="1" applyBorder="1" applyAlignment="1">
      <alignment horizontal="left" vertical="center" wrapText="1"/>
    </xf>
    <xf numFmtId="0" fontId="21" fillId="39" borderId="114" xfId="0" applyFont="1" applyFill="1" applyBorder="1" applyAlignment="1">
      <alignment horizontal="left" vertical="center" wrapText="1"/>
    </xf>
    <xf numFmtId="0" fontId="21" fillId="34" borderId="104" xfId="0" applyFont="1" applyFill="1" applyBorder="1" applyAlignment="1">
      <alignment horizontal="left" vertical="center" wrapText="1"/>
    </xf>
    <xf numFmtId="0" fontId="21" fillId="34" borderId="105" xfId="0" applyFont="1" applyFill="1" applyBorder="1" applyAlignment="1">
      <alignment horizontal="left" vertical="center" wrapText="1"/>
    </xf>
    <xf numFmtId="0" fontId="21" fillId="35" borderId="12" xfId="0" applyFont="1" applyFill="1" applyBorder="1" applyAlignment="1">
      <alignment horizontal="left" vertical="center" wrapText="1"/>
    </xf>
    <xf numFmtId="0" fontId="21" fillId="35" borderId="23" xfId="0" applyFont="1" applyFill="1" applyBorder="1" applyAlignment="1">
      <alignment horizontal="left" vertical="center" wrapText="1"/>
    </xf>
    <xf numFmtId="0" fontId="18" fillId="0" borderId="106" xfId="0" applyFont="1" applyBorder="1"/>
    <xf numFmtId="4" fontId="21" fillId="35" borderId="23" xfId="0" applyNumberFormat="1" applyFont="1" applyFill="1" applyBorder="1" applyAlignment="1">
      <alignment horizontal="right" vertical="center" wrapText="1"/>
    </xf>
    <xf numFmtId="4" fontId="21" fillId="39" borderId="114" xfId="0" applyNumberFormat="1" applyFont="1" applyFill="1" applyBorder="1" applyAlignment="1">
      <alignment horizontal="right" vertical="center" wrapText="1"/>
    </xf>
    <xf numFmtId="4" fontId="21" fillId="34" borderId="105" xfId="0" applyNumberFormat="1" applyFont="1" applyFill="1" applyBorder="1" applyAlignment="1">
      <alignment horizontal="right" vertical="center" wrapText="1"/>
    </xf>
    <xf numFmtId="0" fontId="21" fillId="0" borderId="12" xfId="0" applyFont="1" applyBorder="1" applyAlignment="1">
      <alignment horizontal="right" vertical="center" wrapText="1"/>
    </xf>
    <xf numFmtId="0" fontId="20" fillId="0" borderId="12" xfId="0" applyFont="1" applyBorder="1" applyAlignment="1">
      <alignment horizontal="center" vertical="center" wrapText="1"/>
    </xf>
    <xf numFmtId="4" fontId="20" fillId="0" borderId="12" xfId="0" applyNumberFormat="1" applyFont="1" applyBorder="1" applyAlignment="1">
      <alignment horizontal="right" vertical="center" wrapText="1"/>
    </xf>
    <xf numFmtId="4" fontId="21" fillId="0" borderId="23" xfId="0" applyNumberFormat="1" applyFont="1" applyBorder="1" applyAlignment="1">
      <alignment horizontal="right" vertical="center" wrapText="1"/>
    </xf>
    <xf numFmtId="0" fontId="20" fillId="0" borderId="22" xfId="0" applyFont="1" applyBorder="1" applyAlignment="1">
      <alignment horizontal="center" vertical="top" wrapText="1"/>
    </xf>
    <xf numFmtId="4" fontId="21" fillId="34" borderId="23" xfId="0" applyNumberFormat="1" applyFont="1" applyFill="1" applyBorder="1" applyAlignment="1">
      <alignment horizontal="right" vertical="center" wrapText="1"/>
    </xf>
    <xf numFmtId="0" fontId="20" fillId="0" borderId="67" xfId="0" applyFont="1" applyBorder="1" applyAlignment="1">
      <alignment horizontal="center" vertical="center" wrapText="1"/>
    </xf>
    <xf numFmtId="0" fontId="21" fillId="35" borderId="12" xfId="0" applyFont="1" applyFill="1" applyBorder="1" applyAlignment="1">
      <alignment horizontal="left" vertical="top" wrapText="1"/>
    </xf>
    <xf numFmtId="4" fontId="21" fillId="35" borderId="23" xfId="0" applyNumberFormat="1" applyFont="1" applyFill="1" applyBorder="1" applyAlignment="1">
      <alignment horizontal="right" vertical="top" wrapText="1"/>
    </xf>
    <xf numFmtId="0" fontId="18" fillId="0" borderId="106" xfId="0" applyFont="1" applyBorder="1" applyAlignment="1">
      <alignment vertical="center"/>
    </xf>
    <xf numFmtId="4" fontId="20" fillId="0" borderId="12" xfId="0" applyNumberFormat="1" applyFont="1" applyFill="1" applyBorder="1" applyAlignment="1">
      <alignment horizontal="right" vertical="center" wrapText="1"/>
    </xf>
    <xf numFmtId="4" fontId="20" fillId="0" borderId="57" xfId="0" applyNumberFormat="1" applyFont="1" applyFill="1" applyBorder="1" applyAlignment="1">
      <alignment horizontal="right" vertical="top" wrapText="1"/>
    </xf>
    <xf numFmtId="0" fontId="21" fillId="39" borderId="12" xfId="0" applyFont="1" applyFill="1" applyBorder="1" applyAlignment="1">
      <alignment horizontal="left" vertical="center" wrapText="1"/>
    </xf>
    <xf numFmtId="4" fontId="21" fillId="39" borderId="23" xfId="0" applyNumberFormat="1" applyFont="1" applyFill="1" applyBorder="1" applyAlignment="1">
      <alignment horizontal="right" vertical="center" wrapText="1"/>
    </xf>
    <xf numFmtId="0" fontId="20" fillId="35" borderId="12" xfId="0" applyFont="1" applyFill="1" applyBorder="1" applyAlignment="1">
      <alignment horizontal="center" vertical="top" wrapText="1"/>
    </xf>
    <xf numFmtId="4" fontId="20" fillId="35" borderId="12" xfId="0" applyNumberFormat="1" applyFont="1" applyFill="1" applyBorder="1" applyAlignment="1">
      <alignment horizontal="right" vertical="top" wrapText="1"/>
    </xf>
    <xf numFmtId="0" fontId="32" fillId="36" borderId="0" xfId="0" applyFont="1" applyFill="1" applyAlignment="1">
      <alignment horizontal="center" wrapText="1"/>
    </xf>
    <xf numFmtId="166" fontId="23" fillId="36" borderId="0" xfId="0" applyNumberFormat="1" applyFont="1" applyFill="1" applyAlignment="1">
      <alignment horizontal="left" wrapText="1"/>
    </xf>
    <xf numFmtId="0" fontId="26" fillId="40" borderId="32" xfId="0" applyFont="1" applyFill="1" applyBorder="1" applyAlignment="1">
      <alignment horizontal="center" vertical="center"/>
    </xf>
    <xf numFmtId="0" fontId="26" fillId="40" borderId="34" xfId="0" applyFont="1" applyFill="1" applyBorder="1" applyAlignment="1">
      <alignment horizontal="center" vertical="center"/>
    </xf>
    <xf numFmtId="0" fontId="17" fillId="0" borderId="0" xfId="0" applyFont="1"/>
    <xf numFmtId="10" fontId="35" fillId="0" borderId="40" xfId="0" applyNumberFormat="1" applyFont="1" applyBorder="1" applyAlignment="1">
      <alignment horizontal="center" vertical="center"/>
    </xf>
    <xf numFmtId="0" fontId="35" fillId="40" borderId="40" xfId="0" applyFont="1" applyFill="1" applyBorder="1" applyAlignment="1">
      <alignment horizontal="center" vertical="center"/>
    </xf>
    <xf numFmtId="10" fontId="35" fillId="40" borderId="40" xfId="0" applyNumberFormat="1" applyFont="1" applyFill="1" applyBorder="1" applyAlignment="1">
      <alignment vertical="center"/>
    </xf>
    <xf numFmtId="0" fontId="0" fillId="36" borderId="115" xfId="0" applyFill="1" applyBorder="1"/>
    <xf numFmtId="0" fontId="0" fillId="36" borderId="116" xfId="0" applyFill="1" applyBorder="1" applyAlignment="1">
      <alignment vertical="center"/>
    </xf>
    <xf numFmtId="0" fontId="0" fillId="36" borderId="117" xfId="0" applyFill="1" applyBorder="1" applyAlignment="1">
      <alignment vertical="center"/>
    </xf>
    <xf numFmtId="0" fontId="0" fillId="36" borderId="118" xfId="0" applyFill="1" applyBorder="1"/>
    <xf numFmtId="0" fontId="0" fillId="36" borderId="115" xfId="0" applyFill="1" applyBorder="1" applyAlignment="1">
      <alignment vertical="center"/>
    </xf>
    <xf numFmtId="0" fontId="0" fillId="36" borderId="119" xfId="0" applyFill="1" applyBorder="1" applyAlignment="1">
      <alignment vertical="center"/>
    </xf>
    <xf numFmtId="0" fontId="0" fillId="36" borderId="118" xfId="0" applyFill="1" applyBorder="1" applyAlignment="1">
      <alignment vertical="center"/>
    </xf>
    <xf numFmtId="0" fontId="0" fillId="36" borderId="0" xfId="0" applyFill="1" applyAlignment="1">
      <alignment vertical="center"/>
    </xf>
    <xf numFmtId="0" fontId="47" fillId="36" borderId="118" xfId="0" applyFont="1" applyFill="1" applyBorder="1" applyAlignment="1">
      <alignment vertical="center"/>
    </xf>
    <xf numFmtId="0" fontId="16" fillId="36" borderId="0" xfId="0" applyFont="1" applyFill="1" applyAlignment="1">
      <alignment vertical="center"/>
    </xf>
    <xf numFmtId="0" fontId="48" fillId="36" borderId="118" xfId="0" applyFont="1" applyFill="1" applyBorder="1" applyAlignment="1">
      <alignment vertical="center"/>
    </xf>
    <xf numFmtId="0" fontId="48" fillId="36" borderId="0" xfId="0" applyFont="1" applyFill="1" applyAlignment="1">
      <alignment vertical="center"/>
    </xf>
    <xf numFmtId="0" fontId="49" fillId="36" borderId="0" xfId="0" applyFont="1" applyFill="1" applyAlignment="1">
      <alignment vertical="top" wrapText="1"/>
    </xf>
    <xf numFmtId="0" fontId="49" fillId="36" borderId="0" xfId="0" applyFont="1" applyFill="1" applyAlignment="1">
      <alignment vertical="top"/>
    </xf>
    <xf numFmtId="14" fontId="50" fillId="36" borderId="0" xfId="0" applyNumberFormat="1" applyFont="1" applyFill="1" applyAlignment="1">
      <alignment vertical="top" wrapText="1"/>
    </xf>
    <xf numFmtId="0" fontId="50" fillId="36" borderId="0" xfId="0" applyFont="1" applyFill="1" applyAlignment="1">
      <alignment vertical="top" wrapText="1"/>
    </xf>
    <xf numFmtId="0" fontId="51" fillId="36" borderId="0" xfId="0" applyFont="1" applyFill="1" applyAlignment="1">
      <alignment vertical="top" wrapText="1"/>
    </xf>
    <xf numFmtId="0" fontId="51" fillId="36" borderId="119" xfId="0" applyFont="1" applyFill="1" applyBorder="1" applyAlignment="1">
      <alignment vertical="top" wrapText="1"/>
    </xf>
    <xf numFmtId="0" fontId="47" fillId="36" borderId="0" xfId="0" applyFont="1" applyFill="1" applyAlignment="1">
      <alignment vertical="center"/>
    </xf>
    <xf numFmtId="0" fontId="0" fillId="36" borderId="0" xfId="0" applyFill="1"/>
    <xf numFmtId="0" fontId="47" fillId="36" borderId="120" xfId="0" applyFont="1" applyFill="1" applyBorder="1" applyAlignment="1">
      <alignment vertical="center"/>
    </xf>
    <xf numFmtId="0" fontId="0" fillId="36" borderId="121" xfId="0" applyFill="1" applyBorder="1" applyAlignment="1">
      <alignment vertical="center"/>
    </xf>
    <xf numFmtId="0" fontId="0" fillId="36" borderId="122" xfId="0" applyFill="1" applyBorder="1" applyAlignment="1">
      <alignment vertical="center"/>
    </xf>
    <xf numFmtId="0" fontId="0" fillId="36" borderId="120" xfId="0" applyFill="1" applyBorder="1" applyAlignment="1">
      <alignment vertical="center"/>
    </xf>
    <xf numFmtId="0" fontId="0" fillId="36" borderId="123" xfId="0" applyFill="1" applyBorder="1" applyAlignment="1">
      <alignment vertical="center"/>
    </xf>
    <xf numFmtId="0" fontId="0" fillId="36" borderId="120" xfId="0" applyFill="1" applyBorder="1"/>
    <xf numFmtId="0" fontId="21" fillId="36" borderId="16" xfId="0" applyFont="1" applyFill="1" applyBorder="1" applyAlignment="1">
      <alignment horizontal="center" wrapText="1"/>
    </xf>
    <xf numFmtId="0" fontId="21" fillId="36" borderId="0" xfId="0" applyFont="1" applyFill="1" applyAlignment="1">
      <alignment horizontal="left" wrapText="1"/>
    </xf>
    <xf numFmtId="0" fontId="28" fillId="36" borderId="0" xfId="0" applyFont="1" applyFill="1" applyAlignment="1">
      <alignment horizontal="left"/>
    </xf>
    <xf numFmtId="0" fontId="28" fillId="36" borderId="17" xfId="0" applyFont="1" applyFill="1" applyBorder="1" applyAlignment="1">
      <alignment horizontal="left"/>
    </xf>
    <xf numFmtId="0" fontId="20" fillId="36" borderId="0" xfId="0" applyFont="1" applyFill="1" applyAlignment="1">
      <alignment horizontal="left" wrapText="1"/>
    </xf>
    <xf numFmtId="0" fontId="20" fillId="36" borderId="17" xfId="0" applyFont="1" applyFill="1" applyBorder="1" applyAlignment="1">
      <alignment horizontal="left" wrapText="1"/>
    </xf>
    <xf numFmtId="0" fontId="18" fillId="36" borderId="13" xfId="0" applyFont="1" applyFill="1" applyBorder="1" applyAlignment="1">
      <alignment horizontal="center" vertical="center"/>
    </xf>
    <xf numFmtId="0" fontId="21" fillId="36" borderId="14" xfId="0" applyFont="1" applyFill="1" applyBorder="1" applyAlignment="1">
      <alignment horizontal="center" vertical="center" wrapText="1"/>
    </xf>
    <xf numFmtId="0" fontId="21" fillId="36" borderId="14" xfId="0" applyFont="1" applyFill="1" applyBorder="1" applyAlignment="1">
      <alignment horizontal="left" vertical="center" wrapText="1"/>
    </xf>
    <xf numFmtId="0" fontId="22" fillId="36" borderId="14" xfId="0" applyFont="1" applyFill="1" applyBorder="1" applyAlignment="1">
      <alignment horizontal="left" vertical="center" wrapText="1"/>
    </xf>
    <xf numFmtId="10" fontId="21" fillId="36" borderId="15" xfId="42" applyNumberFormat="1" applyFont="1" applyFill="1" applyBorder="1" applyAlignment="1">
      <alignment horizontal="center" vertical="center" wrapText="1"/>
    </xf>
    <xf numFmtId="0" fontId="20" fillId="36" borderId="16" xfId="0" applyFont="1" applyFill="1" applyBorder="1" applyAlignment="1">
      <alignment horizontal="center" vertical="center"/>
    </xf>
    <xf numFmtId="0" fontId="21" fillId="36" borderId="0" xfId="0" applyFont="1" applyFill="1" applyAlignment="1">
      <alignment horizontal="center" vertical="center" wrapText="1"/>
    </xf>
    <xf numFmtId="0" fontId="21" fillId="36" borderId="0" xfId="0" applyFont="1" applyFill="1" applyAlignment="1">
      <alignment horizontal="left" vertical="center" wrapText="1"/>
    </xf>
    <xf numFmtId="0" fontId="22" fillId="36" borderId="0" xfId="0" applyFont="1" applyFill="1" applyAlignment="1">
      <alignment horizontal="left" vertical="center" wrapText="1"/>
    </xf>
    <xf numFmtId="10" fontId="21" fillId="36" borderId="17" xfId="42" applyNumberFormat="1" applyFont="1" applyFill="1" applyBorder="1" applyAlignment="1">
      <alignment horizontal="center" vertical="center" wrapText="1"/>
    </xf>
    <xf numFmtId="0" fontId="21" fillId="36" borderId="0" xfId="0" applyFont="1" applyFill="1" applyAlignment="1">
      <alignment vertical="center"/>
    </xf>
    <xf numFmtId="0" fontId="21" fillId="36" borderId="17" xfId="0" applyFont="1" applyFill="1" applyBorder="1" applyAlignment="1">
      <alignment vertical="center"/>
    </xf>
    <xf numFmtId="0" fontId="21" fillId="36" borderId="16" xfId="0" applyFont="1" applyFill="1" applyBorder="1" applyAlignment="1">
      <alignment horizontal="right" vertical="center"/>
    </xf>
    <xf numFmtId="0" fontId="21" fillId="36" borderId="0" xfId="0" applyFont="1" applyFill="1" applyAlignment="1">
      <alignment vertical="center" wrapText="1"/>
    </xf>
    <xf numFmtId="0" fontId="22" fillId="36" borderId="0" xfId="0" applyFont="1" applyFill="1" applyAlignment="1">
      <alignment vertical="center" wrapText="1"/>
    </xf>
    <xf numFmtId="0" fontId="18" fillId="36" borderId="0" xfId="0" applyFont="1" applyFill="1" applyAlignment="1">
      <alignment vertical="center"/>
    </xf>
    <xf numFmtId="0" fontId="59" fillId="37" borderId="63" xfId="0" applyFont="1" applyFill="1" applyBorder="1" applyAlignment="1">
      <alignment horizontal="center" vertical="center" wrapText="1"/>
    </xf>
    <xf numFmtId="169" fontId="59" fillId="37" borderId="63" xfId="0" applyNumberFormat="1" applyFont="1" applyFill="1" applyBorder="1" applyAlignment="1">
      <alignment horizontal="center" vertical="center" wrapText="1"/>
    </xf>
    <xf numFmtId="4" fontId="59" fillId="37" borderId="63" xfId="0" applyNumberFormat="1" applyFont="1" applyFill="1" applyBorder="1" applyAlignment="1">
      <alignment horizontal="center" vertical="center" wrapText="1"/>
    </xf>
    <xf numFmtId="0" fontId="0" fillId="0" borderId="0" xfId="0"/>
    <xf numFmtId="0" fontId="35" fillId="36" borderId="0" xfId="0" applyFont="1" applyFill="1"/>
    <xf numFmtId="0" fontId="21" fillId="36" borderId="0" xfId="0" applyFont="1" applyFill="1" applyAlignment="1">
      <alignment horizontal="center" wrapText="1"/>
    </xf>
    <xf numFmtId="0" fontId="0" fillId="36" borderId="0" xfId="0" applyFill="1" applyAlignment="1">
      <alignment vertical="top"/>
    </xf>
    <xf numFmtId="0" fontId="0" fillId="36" borderId="0" xfId="0" applyFill="1" applyAlignment="1">
      <alignment horizontal="right" vertical="top"/>
    </xf>
    <xf numFmtId="0" fontId="38" fillId="37" borderId="102" xfId="0" applyFont="1" applyFill="1" applyBorder="1" applyAlignment="1">
      <alignment horizontal="center"/>
    </xf>
    <xf numFmtId="0" fontId="53" fillId="36" borderId="0" xfId="0" applyFont="1" applyFill="1" applyAlignment="1">
      <alignment vertical="center"/>
    </xf>
    <xf numFmtId="0" fontId="54" fillId="36" borderId="0" xfId="0" applyFont="1" applyFill="1" applyAlignment="1">
      <alignment vertical="top" wrapText="1"/>
    </xf>
    <xf numFmtId="0" fontId="55" fillId="36" borderId="0" xfId="0" applyFont="1" applyFill="1" applyAlignment="1">
      <alignment vertical="center" wrapText="1"/>
    </xf>
    <xf numFmtId="0" fontId="0" fillId="36" borderId="0" xfId="0" applyFill="1"/>
    <xf numFmtId="164" fontId="24" fillId="36" borderId="0" xfId="43" applyNumberFormat="1" applyFont="1" applyFill="1" applyBorder="1" applyAlignment="1">
      <alignment horizontal="left" vertical="center" indent="1"/>
    </xf>
    <xf numFmtId="43" fontId="23" fillId="36" borderId="0" xfId="43" applyFont="1" applyFill="1" applyBorder="1" applyAlignment="1">
      <alignment horizontal="left" vertical="center"/>
    </xf>
    <xf numFmtId="43" fontId="24" fillId="36" borderId="0" xfId="43" applyFont="1" applyFill="1" applyBorder="1" applyAlignment="1">
      <alignment vertical="center"/>
    </xf>
    <xf numFmtId="0" fontId="24" fillId="36" borderId="0" xfId="0" applyFont="1" applyFill="1"/>
    <xf numFmtId="0" fontId="42" fillId="36" borderId="0" xfId="0" applyFont="1" applyFill="1"/>
    <xf numFmtId="167" fontId="42" fillId="36" borderId="0" xfId="0" applyNumberFormat="1" applyFont="1" applyFill="1"/>
    <xf numFmtId="0" fontId="42" fillId="36" borderId="0" xfId="0" applyFont="1" applyFill="1" applyAlignment="1">
      <alignment vertical="center"/>
    </xf>
    <xf numFmtId="0" fontId="27" fillId="36" borderId="0" xfId="0" applyFont="1" applyFill="1" applyAlignment="1">
      <alignment horizontal="left"/>
    </xf>
    <xf numFmtId="0" fontId="26" fillId="36" borderId="17" xfId="0" applyFont="1" applyFill="1" applyBorder="1"/>
    <xf numFmtId="0" fontId="0" fillId="36" borderId="16" xfId="0" applyFill="1" applyBorder="1"/>
    <xf numFmtId="0" fontId="0" fillId="36" borderId="17" xfId="0" applyFill="1" applyBorder="1"/>
    <xf numFmtId="0" fontId="0" fillId="36" borderId="35" xfId="0" applyFill="1" applyBorder="1"/>
    <xf numFmtId="0" fontId="0" fillId="36" borderId="36" xfId="0" applyFill="1" applyBorder="1"/>
    <xf numFmtId="0" fontId="0" fillId="36" borderId="37" xfId="0" applyFill="1" applyBorder="1"/>
    <xf numFmtId="0" fontId="26" fillId="36" borderId="33" xfId="0" applyFont="1" applyFill="1" applyBorder="1" applyAlignment="1">
      <alignment horizontal="center" vertical="center"/>
    </xf>
    <xf numFmtId="0" fontId="0" fillId="36" borderId="33" xfId="0" applyFill="1" applyBorder="1" applyAlignment="1">
      <alignment horizontal="center" vertical="center"/>
    </xf>
    <xf numFmtId="0" fontId="26" fillId="36" borderId="33" xfId="0" applyFont="1" applyFill="1" applyBorder="1" applyAlignment="1">
      <alignment horizontal="center"/>
    </xf>
    <xf numFmtId="0" fontId="26" fillId="36" borderId="33" xfId="0" applyFont="1" applyFill="1" applyBorder="1"/>
    <xf numFmtId="2" fontId="26" fillId="36" borderId="33" xfId="0" applyNumberFormat="1" applyFont="1" applyFill="1" applyBorder="1" applyAlignment="1">
      <alignment horizontal="center"/>
    </xf>
    <xf numFmtId="0" fontId="0" fillId="36" borderId="33" xfId="0" applyFill="1" applyBorder="1" applyAlignment="1">
      <alignment horizontal="right"/>
    </xf>
    <xf numFmtId="0" fontId="0" fillId="36" borderId="33" xfId="0" applyFill="1" applyBorder="1"/>
    <xf numFmtId="2" fontId="0" fillId="36" borderId="33" xfId="0" applyNumberFormat="1" applyFill="1" applyBorder="1" applyAlignment="1">
      <alignment horizontal="center"/>
    </xf>
    <xf numFmtId="2" fontId="26" fillId="36" borderId="17" xfId="0" applyNumberFormat="1" applyFont="1" applyFill="1" applyBorder="1" applyAlignment="1">
      <alignment horizontal="center"/>
    </xf>
    <xf numFmtId="0" fontId="0" fillId="36" borderId="33" xfId="0" applyFill="1" applyBorder="1" applyAlignment="1">
      <alignment horizontal="left"/>
    </xf>
    <xf numFmtId="0" fontId="0" fillId="36" borderId="33" xfId="0" applyFill="1" applyBorder="1" applyAlignment="1">
      <alignment horizontal="center"/>
    </xf>
    <xf numFmtId="0" fontId="0" fillId="36" borderId="38" xfId="0" applyFill="1" applyBorder="1"/>
    <xf numFmtId="0" fontId="0" fillId="36" borderId="39" xfId="0" applyFill="1" applyBorder="1"/>
    <xf numFmtId="0" fontId="0" fillId="36" borderId="41" xfId="0" applyFill="1" applyBorder="1"/>
    <xf numFmtId="0" fontId="17" fillId="36" borderId="0" xfId="0" applyFont="1" applyFill="1"/>
    <xf numFmtId="4" fontId="0" fillId="36" borderId="0" xfId="0" applyNumberFormat="1" applyFill="1"/>
    <xf numFmtId="0" fontId="18" fillId="0" borderId="130" xfId="0" applyFont="1" applyBorder="1" applyAlignment="1">
      <alignment vertical="center"/>
    </xf>
    <xf numFmtId="0" fontId="40" fillId="37" borderId="87" xfId="0" applyFont="1" applyFill="1" applyBorder="1" applyAlignment="1">
      <alignment horizontal="center" vertical="center" wrapText="1"/>
    </xf>
    <xf numFmtId="0" fontId="38" fillId="37" borderId="87" xfId="0" applyFont="1" applyFill="1" applyBorder="1" applyAlignment="1">
      <alignment horizontal="right" vertical="center" wrapText="1"/>
    </xf>
    <xf numFmtId="4" fontId="40" fillId="37" borderId="87" xfId="0" applyNumberFormat="1" applyFont="1" applyFill="1" applyBorder="1" applyAlignment="1">
      <alignment horizontal="right" vertical="center" wrapText="1"/>
    </xf>
    <xf numFmtId="4" fontId="38" fillId="37" borderId="131" xfId="0" applyNumberFormat="1" applyFont="1" applyFill="1" applyBorder="1" applyAlignment="1">
      <alignment horizontal="right" vertical="center" wrapText="1"/>
    </xf>
    <xf numFmtId="0" fontId="38" fillId="37" borderId="90" xfId="0" applyFont="1" applyFill="1" applyBorder="1" applyAlignment="1">
      <alignment horizontal="center" vertical="center"/>
    </xf>
    <xf numFmtId="4" fontId="38" fillId="37" borderId="132" xfId="0" applyNumberFormat="1" applyFont="1" applyFill="1" applyBorder="1" applyAlignment="1">
      <alignment horizontal="right" vertical="center"/>
    </xf>
    <xf numFmtId="4" fontId="38" fillId="37" borderId="132" xfId="0" applyNumberFormat="1" applyFont="1" applyFill="1" applyBorder="1" applyAlignment="1">
      <alignment horizontal="right" vertical="center" wrapText="1"/>
    </xf>
    <xf numFmtId="0" fontId="38" fillId="37" borderId="133" xfId="0" applyFont="1" applyFill="1" applyBorder="1" applyAlignment="1">
      <alignment horizontal="center" vertical="center"/>
    </xf>
    <xf numFmtId="4" fontId="38" fillId="37" borderId="135" xfId="0" applyNumberFormat="1" applyFont="1" applyFill="1" applyBorder="1" applyAlignment="1">
      <alignment horizontal="right" vertical="center" wrapText="1"/>
    </xf>
    <xf numFmtId="0" fontId="38" fillId="37" borderId="86" xfId="0" applyFont="1" applyFill="1" applyBorder="1" applyAlignment="1">
      <alignment horizontal="center" vertical="center" wrapText="1"/>
    </xf>
    <xf numFmtId="0" fontId="18" fillId="37" borderId="89" xfId="0" applyFont="1" applyFill="1" applyBorder="1"/>
    <xf numFmtId="0" fontId="18" fillId="37" borderId="136" xfId="0" applyFont="1" applyFill="1" applyBorder="1"/>
    <xf numFmtId="43" fontId="0" fillId="0" borderId="43" xfId="0" applyNumberFormat="1" applyBorder="1"/>
    <xf numFmtId="43" fontId="0" fillId="0" borderId="46" xfId="0" applyNumberFormat="1" applyBorder="1"/>
    <xf numFmtId="0" fontId="0" fillId="0" borderId="46" xfId="0" applyBorder="1"/>
    <xf numFmtId="0" fontId="0" fillId="0" borderId="51" xfId="0" applyBorder="1"/>
    <xf numFmtId="0" fontId="21" fillId="36" borderId="0" xfId="0" applyFont="1" applyFill="1" applyBorder="1" applyAlignment="1">
      <alignment horizontal="center" wrapText="1"/>
    </xf>
    <xf numFmtId="10" fontId="17" fillId="37" borderId="102" xfId="0" applyNumberFormat="1" applyFont="1" applyFill="1" applyBorder="1"/>
    <xf numFmtId="0" fontId="0" fillId="0" borderId="0" xfId="0"/>
    <xf numFmtId="0" fontId="0" fillId="36" borderId="0" xfId="0" applyFill="1"/>
    <xf numFmtId="0" fontId="21" fillId="0" borderId="0" xfId="0" applyFont="1" applyAlignment="1">
      <alignment horizontal="left" vertical="center"/>
    </xf>
    <xf numFmtId="0" fontId="21" fillId="0" borderId="0" xfId="0" applyFont="1" applyAlignment="1">
      <alignment horizontal="left" vertical="center" wrapText="1"/>
    </xf>
    <xf numFmtId="0" fontId="18" fillId="0" borderId="0" xfId="0" applyFont="1" applyAlignment="1">
      <alignment horizontal="center" vertical="center"/>
    </xf>
    <xf numFmtId="0" fontId="0" fillId="0" borderId="0" xfId="0"/>
    <xf numFmtId="0" fontId="21" fillId="36" borderId="0" xfId="0" applyFont="1" applyFill="1" applyAlignment="1">
      <alignment horizontal="center" vertical="center" wrapText="1"/>
    </xf>
    <xf numFmtId="0" fontId="21" fillId="36" borderId="16" xfId="0" applyFont="1" applyFill="1" applyBorder="1" applyAlignment="1">
      <alignment vertical="center"/>
    </xf>
    <xf numFmtId="0" fontId="0" fillId="0" borderId="0" xfId="0"/>
    <xf numFmtId="0" fontId="34" fillId="0" borderId="65" xfId="0" applyFont="1" applyBorder="1" applyAlignment="1">
      <alignment horizontal="center" vertical="top" wrapText="1"/>
    </xf>
    <xf numFmtId="0" fontId="0" fillId="0" borderId="36" xfId="0" applyBorder="1" applyAlignment="1">
      <alignment horizontal="center" vertical="center"/>
    </xf>
    <xf numFmtId="10" fontId="0" fillId="0" borderId="36" xfId="0" applyNumberFormat="1" applyBorder="1"/>
    <xf numFmtId="0" fontId="63" fillId="35" borderId="40" xfId="0" applyFont="1" applyFill="1" applyBorder="1" applyAlignment="1">
      <alignment vertical="center"/>
    </xf>
    <xf numFmtId="0" fontId="63" fillId="0" borderId="89" xfId="0" applyFont="1" applyBorder="1" applyAlignment="1">
      <alignment horizontal="center" vertical="center"/>
    </xf>
    <xf numFmtId="10" fontId="63" fillId="0" borderId="91" xfId="0" applyNumberFormat="1" applyFont="1" applyBorder="1"/>
    <xf numFmtId="10" fontId="64" fillId="0" borderId="16" xfId="0" applyNumberFormat="1" applyFont="1" applyBorder="1"/>
    <xf numFmtId="0" fontId="63" fillId="0" borderId="0" xfId="0" applyFont="1"/>
    <xf numFmtId="0" fontId="63" fillId="0" borderId="136" xfId="0" applyFont="1" applyBorder="1" applyAlignment="1">
      <alignment horizontal="center" vertical="center"/>
    </xf>
    <xf numFmtId="10" fontId="63" fillId="0" borderId="139" xfId="0" applyNumberFormat="1" applyFont="1" applyBorder="1"/>
    <xf numFmtId="10" fontId="64" fillId="35" borderId="40" xfId="0" applyNumberFormat="1" applyFont="1" applyFill="1" applyBorder="1" applyAlignment="1">
      <alignment vertical="center"/>
    </xf>
    <xf numFmtId="0" fontId="63" fillId="0" borderId="86" xfId="0" applyFont="1" applyBorder="1" applyAlignment="1">
      <alignment horizontal="center" vertical="center"/>
    </xf>
    <xf numFmtId="10" fontId="63" fillId="0" borderId="88" xfId="0" applyNumberFormat="1" applyFont="1" applyBorder="1"/>
    <xf numFmtId="10" fontId="63" fillId="0" borderId="16" xfId="0" applyNumberFormat="1" applyFont="1" applyBorder="1"/>
    <xf numFmtId="10" fontId="63" fillId="0" borderId="140" xfId="0" applyNumberFormat="1" applyFont="1" applyBorder="1"/>
    <xf numFmtId="10" fontId="64" fillId="0" borderId="16" xfId="0" applyNumberFormat="1" applyFont="1" applyBorder="1" applyAlignment="1">
      <alignment vertical="center"/>
    </xf>
    <xf numFmtId="0" fontId="63" fillId="0" borderId="92" xfId="0" applyFont="1" applyBorder="1" applyAlignment="1">
      <alignment horizontal="center" vertical="center"/>
    </xf>
    <xf numFmtId="10" fontId="63" fillId="0" borderId="94" xfId="0" applyNumberFormat="1" applyFont="1" applyBorder="1"/>
    <xf numFmtId="10" fontId="65" fillId="35" borderId="40" xfId="0" applyNumberFormat="1" applyFont="1" applyFill="1" applyBorder="1" applyAlignment="1">
      <alignment vertical="center"/>
    </xf>
    <xf numFmtId="0" fontId="0" fillId="0" borderId="0" xfId="0" applyAlignment="1">
      <alignment horizontal="center" vertical="center"/>
    </xf>
    <xf numFmtId="10" fontId="0" fillId="0" borderId="0" xfId="0" applyNumberFormat="1"/>
    <xf numFmtId="0" fontId="0" fillId="36" borderId="0" xfId="0" applyFill="1" applyBorder="1"/>
    <xf numFmtId="169" fontId="18" fillId="36" borderId="0" xfId="0" applyNumberFormat="1" applyFont="1" applyFill="1" applyBorder="1" applyAlignment="1">
      <alignment horizontal="right" vertical="top" wrapText="1"/>
    </xf>
    <xf numFmtId="0" fontId="18" fillId="0" borderId="112" xfId="0" applyFont="1" applyBorder="1" applyAlignment="1">
      <alignment horizontal="right" vertical="top" wrapText="1"/>
    </xf>
    <xf numFmtId="169" fontId="18" fillId="0" borderId="12" xfId="0" applyNumberFormat="1" applyFont="1" applyFill="1" applyBorder="1" applyAlignment="1">
      <alignment horizontal="right" vertical="top" wrapText="1"/>
    </xf>
    <xf numFmtId="4" fontId="18" fillId="0" borderId="12" xfId="0" applyNumberFormat="1" applyFont="1" applyFill="1" applyBorder="1" applyAlignment="1">
      <alignment horizontal="right" vertical="top" wrapText="1"/>
    </xf>
    <xf numFmtId="0" fontId="20" fillId="0" borderId="53" xfId="0" applyFont="1" applyBorder="1" applyAlignment="1">
      <alignment horizontal="center" vertical="center" wrapText="1"/>
    </xf>
    <xf numFmtId="4" fontId="20" fillId="0" borderId="57" xfId="0" applyNumberFormat="1" applyFont="1" applyFill="1" applyBorder="1" applyAlignment="1">
      <alignment horizontal="right" vertical="center" wrapText="1"/>
    </xf>
    <xf numFmtId="0" fontId="28" fillId="36" borderId="0" xfId="44" applyFont="1" applyFill="1" applyBorder="1"/>
    <xf numFmtId="0" fontId="20" fillId="0" borderId="22" xfId="0" applyFont="1" applyFill="1" applyBorder="1" applyAlignment="1">
      <alignment horizontal="center" vertical="center" wrapText="1"/>
    </xf>
    <xf numFmtId="0" fontId="20" fillId="0" borderId="12" xfId="0" applyFont="1" applyFill="1" applyBorder="1" applyAlignment="1">
      <alignment horizontal="left" vertical="top" wrapText="1"/>
    </xf>
    <xf numFmtId="0" fontId="18" fillId="0" borderId="12" xfId="0" applyFont="1" applyBorder="1" applyAlignment="1">
      <alignment horizontal="left" vertical="center" wrapText="1"/>
    </xf>
    <xf numFmtId="0" fontId="18" fillId="0" borderId="0" xfId="0" applyFont="1" applyFill="1" applyAlignment="1">
      <alignment vertical="center"/>
    </xf>
    <xf numFmtId="0" fontId="52" fillId="36" borderId="115" xfId="0" applyFont="1" applyFill="1" applyBorder="1" applyAlignment="1">
      <alignment vertical="center"/>
    </xf>
    <xf numFmtId="0" fontId="52" fillId="36" borderId="118" xfId="0" applyFont="1" applyFill="1" applyBorder="1" applyAlignment="1">
      <alignment vertical="center"/>
    </xf>
    <xf numFmtId="44" fontId="52" fillId="36" borderId="119" xfId="45" applyFont="1" applyFill="1" applyBorder="1" applyAlignment="1">
      <alignment vertical="center"/>
    </xf>
    <xf numFmtId="44" fontId="47" fillId="36" borderId="119" xfId="45" applyFont="1" applyFill="1" applyBorder="1" applyAlignment="1">
      <alignment vertical="center"/>
    </xf>
    <xf numFmtId="44" fontId="66" fillId="36" borderId="119" xfId="45" applyFont="1" applyFill="1" applyBorder="1" applyAlignment="1">
      <alignment vertical="center"/>
    </xf>
    <xf numFmtId="0" fontId="48" fillId="36" borderId="116" xfId="0" applyFont="1" applyFill="1" applyBorder="1" applyAlignment="1">
      <alignment horizontal="left" vertical="center" wrapText="1"/>
    </xf>
    <xf numFmtId="0" fontId="48" fillId="36" borderId="117" xfId="0" applyFont="1" applyFill="1" applyBorder="1" applyAlignment="1">
      <alignment horizontal="left" vertical="center" wrapText="1"/>
    </xf>
    <xf numFmtId="0" fontId="48" fillId="36" borderId="0" xfId="0" applyFont="1" applyFill="1" applyAlignment="1">
      <alignment horizontal="left" vertical="center" wrapText="1"/>
    </xf>
    <xf numFmtId="0" fontId="48" fillId="36" borderId="119" xfId="0" applyFont="1" applyFill="1" applyBorder="1" applyAlignment="1">
      <alignment horizontal="left" vertical="center" wrapText="1"/>
    </xf>
    <xf numFmtId="0" fontId="0" fillId="36" borderId="0" xfId="0" applyFill="1" applyAlignment="1">
      <alignment horizontal="left" wrapText="1"/>
    </xf>
    <xf numFmtId="0" fontId="0" fillId="36" borderId="119" xfId="0" applyFill="1" applyBorder="1" applyAlignment="1">
      <alignment horizontal="left" wrapText="1"/>
    </xf>
    <xf numFmtId="0" fontId="43" fillId="36" borderId="118" xfId="0" applyFont="1" applyFill="1" applyBorder="1" applyAlignment="1">
      <alignment horizontal="center" vertical="center"/>
    </xf>
    <xf numFmtId="0" fontId="43" fillId="36" borderId="0" xfId="0" applyFont="1" applyFill="1" applyAlignment="1">
      <alignment horizontal="center" vertical="center"/>
    </xf>
    <xf numFmtId="0" fontId="43" fillId="36" borderId="119" xfId="0" applyFont="1" applyFill="1" applyBorder="1" applyAlignment="1">
      <alignment horizontal="center" vertical="center"/>
    </xf>
    <xf numFmtId="0" fontId="44" fillId="36" borderId="118" xfId="0" applyFont="1" applyFill="1" applyBorder="1" applyAlignment="1">
      <alignment horizontal="center" vertical="center"/>
    </xf>
    <xf numFmtId="0" fontId="44" fillId="36" borderId="0" xfId="0" applyFont="1" applyFill="1" applyAlignment="1">
      <alignment horizontal="center" vertical="center"/>
    </xf>
    <xf numFmtId="0" fontId="44" fillId="36" borderId="119" xfId="0" applyFont="1" applyFill="1" applyBorder="1" applyAlignment="1">
      <alignment horizontal="center" vertical="center"/>
    </xf>
    <xf numFmtId="0" fontId="45" fillId="36" borderId="118" xfId="0" applyFont="1" applyFill="1" applyBorder="1" applyAlignment="1">
      <alignment horizontal="center" vertical="center"/>
    </xf>
    <xf numFmtId="0" fontId="45" fillId="36" borderId="0" xfId="0" applyFont="1" applyFill="1" applyAlignment="1">
      <alignment horizontal="center" vertical="center"/>
    </xf>
    <xf numFmtId="0" fontId="45" fillId="36" borderId="119" xfId="0" applyFont="1" applyFill="1" applyBorder="1" applyAlignment="1">
      <alignment horizontal="center" vertical="center"/>
    </xf>
    <xf numFmtId="0" fontId="46" fillId="36" borderId="120" xfId="0" applyFont="1" applyFill="1" applyBorder="1" applyAlignment="1">
      <alignment horizontal="center" vertical="center"/>
    </xf>
    <xf numFmtId="0" fontId="46" fillId="36" borderId="121" xfId="0" applyFont="1" applyFill="1" applyBorder="1" applyAlignment="1">
      <alignment horizontal="center" vertical="center"/>
    </xf>
    <xf numFmtId="0" fontId="46" fillId="36" borderId="122" xfId="0" applyFont="1" applyFill="1" applyBorder="1" applyAlignment="1">
      <alignment horizontal="center" vertical="center"/>
    </xf>
    <xf numFmtId="0" fontId="23" fillId="33" borderId="30" xfId="43" applyNumberFormat="1" applyFont="1" applyFill="1" applyBorder="1" applyAlignment="1">
      <alignment horizontal="left" vertical="center" wrapText="1"/>
    </xf>
    <xf numFmtId="0" fontId="0" fillId="0" borderId="30" xfId="0" applyBorder="1"/>
    <xf numFmtId="0" fontId="24" fillId="33" borderId="0" xfId="43" applyNumberFormat="1" applyFont="1" applyFill="1" applyBorder="1" applyAlignment="1">
      <alignment horizontal="left" vertical="center" wrapText="1"/>
    </xf>
    <xf numFmtId="0" fontId="0" fillId="0" borderId="0" xfId="0"/>
    <xf numFmtId="49" fontId="24" fillId="33" borderId="0" xfId="43" applyNumberFormat="1" applyFont="1" applyFill="1" applyBorder="1" applyAlignment="1">
      <alignment horizontal="left" vertical="center" wrapText="1"/>
    </xf>
    <xf numFmtId="0" fontId="0" fillId="0" borderId="0" xfId="0" applyFont="1"/>
    <xf numFmtId="0" fontId="0" fillId="0" borderId="28" xfId="0" applyFont="1" applyBorder="1"/>
    <xf numFmtId="0" fontId="21" fillId="0" borderId="0" xfId="0" applyFont="1" applyAlignment="1">
      <alignment horizontal="center" vertical="center" wrapText="1"/>
    </xf>
    <xf numFmtId="0" fontId="38" fillId="37" borderId="102" xfId="0" applyFont="1" applyFill="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horizontal="righ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Alignment="1">
      <alignment horizontal="center" vertical="center"/>
    </xf>
    <xf numFmtId="0" fontId="18" fillId="0" borderId="17" xfId="0" applyFont="1" applyBorder="1" applyAlignment="1">
      <alignment horizontal="center" vertical="center"/>
    </xf>
    <xf numFmtId="0" fontId="38" fillId="37" borderId="90" xfId="0" applyFont="1" applyFill="1" applyBorder="1" applyAlignment="1">
      <alignment horizontal="right" vertical="center"/>
    </xf>
    <xf numFmtId="10" fontId="38" fillId="37" borderId="90" xfId="42" applyNumberFormat="1" applyFont="1" applyFill="1" applyBorder="1" applyAlignment="1">
      <alignment horizontal="right" vertical="center"/>
    </xf>
    <xf numFmtId="0" fontId="38" fillId="37" borderId="134" xfId="0" applyFont="1" applyFill="1" applyBorder="1" applyAlignment="1">
      <alignment horizontal="right" vertical="center"/>
    </xf>
    <xf numFmtId="0" fontId="21" fillId="0" borderId="16" xfId="0" applyFont="1" applyBorder="1" applyAlignment="1">
      <alignment horizontal="right" vertical="center" wrapText="1"/>
    </xf>
    <xf numFmtId="0" fontId="21" fillId="0" borderId="0" xfId="0" applyFont="1" applyAlignment="1">
      <alignment horizontal="right" vertical="center" wrapText="1"/>
    </xf>
    <xf numFmtId="0" fontId="21" fillId="0" borderId="17" xfId="0" applyFont="1" applyBorder="1" applyAlignment="1">
      <alignment horizontal="right" vertical="center" wrapText="1"/>
    </xf>
    <xf numFmtId="0" fontId="21" fillId="0" borderId="16" xfId="0" applyFont="1" applyBorder="1" applyAlignment="1">
      <alignment horizontal="left" vertical="center"/>
    </xf>
    <xf numFmtId="0" fontId="21" fillId="0" borderId="0" xfId="0" applyFont="1" applyAlignment="1">
      <alignment horizontal="left" vertical="center"/>
    </xf>
    <xf numFmtId="0" fontId="21" fillId="36" borderId="0" xfId="0" applyFont="1" applyFill="1" applyAlignment="1">
      <alignment horizontal="center" vertical="center" wrapText="1"/>
    </xf>
    <xf numFmtId="0" fontId="21" fillId="36" borderId="0" xfId="0" applyFont="1" applyFill="1" applyAlignment="1">
      <alignment horizontal="center" vertical="center"/>
    </xf>
    <xf numFmtId="0" fontId="21" fillId="36" borderId="0" xfId="0" applyFont="1" applyFill="1" applyAlignment="1">
      <alignment horizontal="right" vertical="center"/>
    </xf>
    <xf numFmtId="0" fontId="21" fillId="36" borderId="16" xfId="0" applyFont="1" applyFill="1" applyBorder="1" applyAlignment="1">
      <alignment horizontal="right" vertical="center" wrapText="1"/>
    </xf>
    <xf numFmtId="0" fontId="21" fillId="36" borderId="0" xfId="0" applyFont="1" applyFill="1" applyAlignment="1">
      <alignment horizontal="right" vertical="center" wrapText="1"/>
    </xf>
    <xf numFmtId="0" fontId="21" fillId="36" borderId="17" xfId="0" applyFont="1" applyFill="1" applyBorder="1" applyAlignment="1">
      <alignment horizontal="right" vertical="center" wrapText="1"/>
    </xf>
    <xf numFmtId="0" fontId="21" fillId="36" borderId="16" xfId="0" applyFont="1" applyFill="1" applyBorder="1" applyAlignment="1">
      <alignment horizontal="center" vertical="center"/>
    </xf>
    <xf numFmtId="0" fontId="21" fillId="36" borderId="17" xfId="0" applyFont="1" applyFill="1" applyBorder="1" applyAlignment="1">
      <alignment horizontal="center" vertical="center"/>
    </xf>
    <xf numFmtId="0" fontId="18" fillId="36" borderId="16" xfId="0" applyFont="1" applyFill="1" applyBorder="1" applyAlignment="1">
      <alignment horizontal="center" vertical="center"/>
    </xf>
    <xf numFmtId="0" fontId="18" fillId="36" borderId="0" xfId="0" applyFont="1" applyFill="1" applyAlignment="1">
      <alignment horizontal="center" vertical="center"/>
    </xf>
    <xf numFmtId="0" fontId="18" fillId="36" borderId="17" xfId="0" applyFont="1" applyFill="1" applyBorder="1" applyAlignment="1">
      <alignment horizontal="center" vertical="center"/>
    </xf>
    <xf numFmtId="0" fontId="21" fillId="36" borderId="16" xfId="0" applyFont="1" applyFill="1" applyBorder="1" applyAlignment="1">
      <alignment horizontal="left" vertical="center"/>
    </xf>
    <xf numFmtId="0" fontId="21" fillId="36" borderId="0" xfId="0" applyFont="1" applyFill="1" applyAlignment="1">
      <alignment horizontal="left" vertical="center"/>
    </xf>
    <xf numFmtId="0" fontId="21" fillId="0" borderId="0" xfId="0" applyFont="1" applyAlignment="1">
      <alignment horizontal="left" vertical="center" wrapText="1"/>
    </xf>
    <xf numFmtId="0" fontId="56" fillId="36" borderId="0" xfId="0" applyFont="1" applyFill="1" applyAlignment="1">
      <alignment horizontal="center" vertical="center" wrapText="1"/>
    </xf>
    <xf numFmtId="0" fontId="56" fillId="36" borderId="17" xfId="0" applyFont="1" applyFill="1" applyBorder="1" applyAlignment="1">
      <alignment horizontal="center" vertical="center" wrapText="1"/>
    </xf>
    <xf numFmtId="0" fontId="57" fillId="36" borderId="16" xfId="0" applyFont="1" applyFill="1" applyBorder="1" applyAlignment="1">
      <alignment horizontal="right" vertical="center" wrapText="1"/>
    </xf>
    <xf numFmtId="0" fontId="57" fillId="36" borderId="0" xfId="0" applyFont="1" applyFill="1" applyAlignment="1">
      <alignment horizontal="right" vertical="center" wrapText="1"/>
    </xf>
    <xf numFmtId="0" fontId="57" fillId="36" borderId="17" xfId="0" applyFont="1" applyFill="1" applyBorder="1" applyAlignment="1">
      <alignment horizontal="right" vertical="center" wrapText="1"/>
    </xf>
    <xf numFmtId="0" fontId="0" fillId="36" borderId="0" xfId="0" applyFill="1"/>
    <xf numFmtId="49" fontId="24" fillId="33" borderId="17" xfId="43" applyNumberFormat="1" applyFont="1" applyFill="1" applyBorder="1" applyAlignment="1">
      <alignment horizontal="left" vertical="center" wrapText="1"/>
    </xf>
    <xf numFmtId="0" fontId="23" fillId="33" borderId="36" xfId="43" applyNumberFormat="1" applyFont="1" applyFill="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164" fontId="23" fillId="0" borderId="38" xfId="43" applyNumberFormat="1" applyFont="1" applyFill="1" applyBorder="1" applyAlignment="1">
      <alignment vertical="center" wrapText="1"/>
    </xf>
    <xf numFmtId="0" fontId="0" fillId="0" borderId="39" xfId="0" applyBorder="1" applyAlignment="1">
      <alignment vertical="center" wrapText="1"/>
    </xf>
    <xf numFmtId="0" fontId="0" fillId="0" borderId="41" xfId="0" applyBorder="1" applyAlignment="1">
      <alignment vertical="center" wrapText="1"/>
    </xf>
    <xf numFmtId="0" fontId="24" fillId="33" borderId="14" xfId="43" applyNumberFormat="1" applyFont="1" applyFill="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31" fillId="33" borderId="0" xfId="43" applyNumberFormat="1" applyFont="1" applyFill="1" applyBorder="1" applyAlignment="1">
      <alignment horizontal="left" vertical="center" wrapText="1"/>
    </xf>
    <xf numFmtId="0" fontId="0" fillId="0" borderId="0" xfId="0" applyAlignment="1">
      <alignment vertical="center"/>
    </xf>
    <xf numFmtId="0" fontId="0" fillId="0" borderId="17" xfId="0" applyBorder="1" applyAlignment="1">
      <alignment vertical="center"/>
    </xf>
    <xf numFmtId="0" fontId="20" fillId="36" borderId="0" xfId="0" applyFont="1" applyFill="1" applyAlignment="1">
      <alignment horizontal="left" wrapText="1"/>
    </xf>
    <xf numFmtId="0" fontId="20" fillId="36" borderId="17" xfId="0" applyFont="1" applyFill="1" applyBorder="1" applyAlignment="1">
      <alignment horizontal="left" wrapText="1"/>
    </xf>
    <xf numFmtId="0" fontId="21" fillId="36" borderId="13" xfId="0" applyFont="1" applyFill="1" applyBorder="1" applyAlignment="1">
      <alignment horizontal="center" wrapText="1"/>
    </xf>
    <xf numFmtId="0" fontId="21" fillId="36" borderId="14" xfId="0" applyFont="1" applyFill="1" applyBorder="1" applyAlignment="1">
      <alignment horizontal="center" wrapText="1"/>
    </xf>
    <xf numFmtId="0" fontId="28" fillId="36" borderId="14" xfId="0" applyFont="1" applyFill="1" applyBorder="1" applyAlignment="1">
      <alignment horizontal="left"/>
    </xf>
    <xf numFmtId="0" fontId="28" fillId="36" borderId="15" xfId="0" applyFont="1" applyFill="1" applyBorder="1" applyAlignment="1">
      <alignment horizontal="left"/>
    </xf>
    <xf numFmtId="0" fontId="21" fillId="36" borderId="16" xfId="0" applyFont="1" applyFill="1" applyBorder="1" applyAlignment="1">
      <alignment horizontal="center" vertical="center" wrapText="1"/>
    </xf>
    <xf numFmtId="0" fontId="57" fillId="36" borderId="35" xfId="0" applyFont="1" applyFill="1" applyBorder="1" applyAlignment="1">
      <alignment horizontal="right" vertical="center" wrapText="1"/>
    </xf>
    <xf numFmtId="0" fontId="57" fillId="36" borderId="36" xfId="0" applyFont="1" applyFill="1" applyBorder="1" applyAlignment="1">
      <alignment horizontal="right" vertical="center" wrapText="1"/>
    </xf>
    <xf numFmtId="0" fontId="57" fillId="36" borderId="37" xfId="0" applyFont="1" applyFill="1" applyBorder="1" applyAlignment="1">
      <alignment horizontal="right" vertical="center" wrapText="1"/>
    </xf>
    <xf numFmtId="0" fontId="21" fillId="36" borderId="16" xfId="0" applyFont="1" applyFill="1" applyBorder="1" applyAlignment="1">
      <alignment horizontal="left" wrapText="1"/>
    </xf>
    <xf numFmtId="0" fontId="21" fillId="36" borderId="0" xfId="0" applyFont="1" applyFill="1" applyAlignment="1">
      <alignment horizontal="left" wrapText="1"/>
    </xf>
    <xf numFmtId="0" fontId="26" fillId="33" borderId="20" xfId="0" applyFont="1" applyFill="1" applyBorder="1" applyAlignment="1">
      <alignment horizontal="left" vertical="center" indent="3"/>
    </xf>
    <xf numFmtId="0" fontId="26" fillId="33" borderId="21" xfId="0" applyFont="1" applyFill="1" applyBorder="1" applyAlignment="1">
      <alignment horizontal="left" vertical="center" indent="3"/>
    </xf>
    <xf numFmtId="0" fontId="17" fillId="37" borderId="102" xfId="0" applyFont="1" applyFill="1" applyBorder="1" applyAlignment="1">
      <alignment horizontal="center"/>
    </xf>
    <xf numFmtId="43" fontId="60" fillId="37" borderId="137" xfId="43" applyFont="1" applyFill="1" applyBorder="1" applyAlignment="1">
      <alignment horizontal="center" vertical="center" wrapText="1"/>
    </xf>
    <xf numFmtId="43" fontId="60" fillId="37" borderId="128" xfId="43" applyFont="1" applyFill="1" applyBorder="1" applyAlignment="1">
      <alignment horizontal="center" vertical="center" wrapText="1"/>
    </xf>
    <xf numFmtId="9" fontId="60" fillId="37" borderId="137" xfId="42" applyFont="1" applyFill="1" applyBorder="1" applyAlignment="1">
      <alignment horizontal="center" vertical="center" wrapText="1"/>
    </xf>
    <xf numFmtId="9" fontId="60" fillId="37" borderId="128" xfId="42" applyFont="1" applyFill="1" applyBorder="1" applyAlignment="1">
      <alignment horizontal="center" vertical="center" wrapText="1"/>
    </xf>
    <xf numFmtId="0" fontId="38" fillId="37" borderId="128" xfId="0" applyFont="1" applyFill="1" applyBorder="1" applyAlignment="1">
      <alignment horizontal="center"/>
    </xf>
    <xf numFmtId="43" fontId="26" fillId="33" borderId="13" xfId="43" applyFont="1" applyFill="1" applyBorder="1" applyAlignment="1">
      <alignment vertical="center"/>
    </xf>
    <xf numFmtId="43" fontId="26" fillId="33" borderId="15" xfId="43" applyFont="1" applyFill="1" applyBorder="1" applyAlignment="1">
      <alignment vertical="center"/>
    </xf>
    <xf numFmtId="43" fontId="26" fillId="33" borderId="16" xfId="43" applyFont="1" applyFill="1" applyBorder="1" applyAlignment="1">
      <alignment vertical="center"/>
    </xf>
    <xf numFmtId="43" fontId="26" fillId="33" borderId="17" xfId="43" applyFont="1" applyFill="1" applyBorder="1" applyAlignment="1">
      <alignment vertical="center"/>
    </xf>
    <xf numFmtId="43" fontId="26" fillId="33" borderId="20" xfId="43" applyFont="1" applyFill="1" applyBorder="1" applyAlignment="1">
      <alignment vertical="center"/>
    </xf>
    <xf numFmtId="43" fontId="26" fillId="33" borderId="21" xfId="43" applyFont="1" applyFill="1" applyBorder="1" applyAlignment="1">
      <alignment vertical="center"/>
    </xf>
    <xf numFmtId="0" fontId="26" fillId="33" borderId="20" xfId="0" applyFont="1" applyFill="1" applyBorder="1" applyAlignment="1">
      <alignment horizontal="left" vertical="center" wrapText="1" indent="3"/>
    </xf>
    <xf numFmtId="0" fontId="0" fillId="0" borderId="21" xfId="0" applyBorder="1" applyAlignment="1">
      <alignment horizontal="left" vertical="center" wrapText="1" indent="3"/>
    </xf>
    <xf numFmtId="0" fontId="0" fillId="0" borderId="18" xfId="0" applyBorder="1" applyAlignment="1">
      <alignment horizontal="left" vertical="center" wrapText="1" indent="3"/>
    </xf>
    <xf numFmtId="0" fontId="0" fillId="0" borderId="19" xfId="0" applyBorder="1" applyAlignment="1">
      <alignment horizontal="left" vertical="center" wrapText="1" indent="3"/>
    </xf>
    <xf numFmtId="43" fontId="26" fillId="33" borderId="20" xfId="43" applyFont="1" applyFill="1" applyBorder="1" applyAlignment="1">
      <alignment vertical="center" wrapText="1"/>
    </xf>
    <xf numFmtId="43" fontId="26" fillId="33" borderId="21" xfId="43" applyFont="1" applyFill="1" applyBorder="1" applyAlignment="1">
      <alignment vertical="center" wrapText="1"/>
    </xf>
    <xf numFmtId="0" fontId="0" fillId="0" borderId="35" xfId="0" applyBorder="1" applyAlignment="1">
      <alignment vertical="center" wrapText="1"/>
    </xf>
    <xf numFmtId="0" fontId="0" fillId="0" borderId="37" xfId="0" applyBorder="1" applyAlignment="1">
      <alignment vertical="center" wrapText="1"/>
    </xf>
    <xf numFmtId="43" fontId="23" fillId="0" borderId="38" xfId="43" applyFont="1" applyFill="1" applyBorder="1" applyAlignment="1">
      <alignment horizontal="left" vertical="center"/>
    </xf>
    <xf numFmtId="0" fontId="0" fillId="0" borderId="39" xfId="0" applyBorder="1" applyAlignment="1">
      <alignment horizontal="left" vertical="center"/>
    </xf>
    <xf numFmtId="0" fontId="0" fillId="0" borderId="41" xfId="0" applyBorder="1" applyAlignment="1">
      <alignment horizontal="left" vertical="center"/>
    </xf>
    <xf numFmtId="164" fontId="23" fillId="0" borderId="38" xfId="43" applyNumberFormat="1" applyFont="1" applyFill="1" applyBorder="1" applyAlignment="1">
      <alignment horizontal="left" vertical="center"/>
    </xf>
    <xf numFmtId="43" fontId="26" fillId="33" borderId="20" xfId="43" applyFont="1" applyFill="1" applyBorder="1" applyAlignment="1">
      <alignment vertical="top" wrapText="1"/>
    </xf>
    <xf numFmtId="43" fontId="26" fillId="33" borderId="21" xfId="43" applyFont="1" applyFill="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26" fillId="33" borderId="16" xfId="0" applyFont="1" applyFill="1" applyBorder="1" applyAlignment="1">
      <alignment horizontal="left" vertical="center" indent="3"/>
    </xf>
    <xf numFmtId="0" fontId="26" fillId="33" borderId="17" xfId="0" applyFont="1" applyFill="1" applyBorder="1" applyAlignment="1">
      <alignment horizontal="left" vertical="center" indent="3"/>
    </xf>
    <xf numFmtId="0" fontId="35" fillId="36" borderId="0" xfId="0" applyFont="1" applyFill="1" applyAlignment="1">
      <alignment horizontal="left"/>
    </xf>
    <xf numFmtId="0" fontId="38" fillId="37" borderId="40" xfId="0" applyFont="1" applyFill="1" applyBorder="1" applyAlignment="1">
      <alignment horizontal="center" wrapText="1"/>
    </xf>
    <xf numFmtId="164" fontId="60" fillId="37" borderId="137" xfId="43" applyNumberFormat="1" applyFont="1" applyFill="1" applyBorder="1" applyAlignment="1">
      <alignment horizontal="center" vertical="center" wrapText="1"/>
    </xf>
    <xf numFmtId="164" fontId="60" fillId="37" borderId="128" xfId="43" applyNumberFormat="1" applyFont="1" applyFill="1" applyBorder="1" applyAlignment="1">
      <alignment horizontal="center" vertical="center" wrapText="1"/>
    </xf>
    <xf numFmtId="43" fontId="26" fillId="33" borderId="20" xfId="0" applyNumberFormat="1" applyFont="1" applyFill="1" applyBorder="1" applyAlignment="1">
      <alignment horizontal="left" vertical="center" indent="3"/>
    </xf>
    <xf numFmtId="0" fontId="0" fillId="0" borderId="21" xfId="0" applyBorder="1" applyAlignment="1">
      <alignment vertical="center" wrapText="1"/>
    </xf>
    <xf numFmtId="43" fontId="26" fillId="33" borderId="49" xfId="43" applyFont="1" applyFill="1" applyBorder="1" applyAlignment="1">
      <alignment vertical="center"/>
    </xf>
    <xf numFmtId="43" fontId="26" fillId="33" borderId="50" xfId="43" applyFont="1" applyFill="1" applyBorder="1" applyAlignment="1">
      <alignment vertical="center"/>
    </xf>
    <xf numFmtId="0" fontId="0" fillId="36" borderId="14" xfId="0" applyFill="1" applyBorder="1" applyAlignment="1">
      <alignment horizontal="center"/>
    </xf>
    <xf numFmtId="0" fontId="0" fillId="36" borderId="0" xfId="0" applyFill="1" applyAlignment="1">
      <alignment horizontal="right"/>
    </xf>
    <xf numFmtId="0" fontId="22" fillId="36" borderId="0" xfId="0" applyFont="1" applyFill="1" applyAlignment="1">
      <alignment horizontal="left" wrapText="1"/>
    </xf>
    <xf numFmtId="0" fontId="0" fillId="36" borderId="0" xfId="0" applyFill="1" applyAlignment="1">
      <alignment horizontal="right" vertical="top"/>
    </xf>
    <xf numFmtId="0" fontId="21" fillId="36" borderId="0" xfId="0" applyFont="1" applyFill="1" applyBorder="1" applyAlignment="1">
      <alignment horizontal="left" vertical="center" wrapText="1"/>
    </xf>
    <xf numFmtId="0" fontId="0" fillId="36" borderId="0" xfId="0" applyFill="1" applyBorder="1" applyAlignment="1">
      <alignment horizontal="left" vertical="center" wrapText="1"/>
    </xf>
    <xf numFmtId="0" fontId="17" fillId="37" borderId="138" xfId="0" applyFont="1" applyFill="1" applyBorder="1" applyAlignment="1">
      <alignment horizontal="center" vertical="center"/>
    </xf>
    <xf numFmtId="0" fontId="17" fillId="37" borderId="129" xfId="0" applyFont="1" applyFill="1" applyBorder="1" applyAlignment="1">
      <alignment horizontal="center" vertical="center"/>
    </xf>
    <xf numFmtId="0" fontId="0" fillId="36" borderId="0" xfId="0" applyFill="1" applyAlignment="1">
      <alignment horizontal="center"/>
    </xf>
    <xf numFmtId="0" fontId="0" fillId="40" borderId="32" xfId="0" applyFill="1" applyBorder="1" applyAlignment="1">
      <alignment horizontal="center" vertical="center"/>
    </xf>
    <xf numFmtId="0" fontId="0" fillId="40" borderId="34" xfId="0" applyFill="1" applyBorder="1" applyAlignment="1">
      <alignment horizontal="center" vertical="center"/>
    </xf>
    <xf numFmtId="0" fontId="35" fillId="40" borderId="40" xfId="0" applyFont="1" applyFill="1" applyBorder="1" applyAlignment="1">
      <alignment horizontal="center" vertical="center"/>
    </xf>
    <xf numFmtId="0" fontId="32" fillId="36" borderId="0" xfId="0" applyFont="1" applyFill="1" applyAlignment="1">
      <alignment horizontal="left" vertical="center" wrapText="1"/>
    </xf>
    <xf numFmtId="0" fontId="41" fillId="37" borderId="16" xfId="0" applyFont="1" applyFill="1" applyBorder="1" applyAlignment="1">
      <alignment horizontal="center" vertical="center" wrapText="1"/>
    </xf>
    <xf numFmtId="0" fontId="41" fillId="37" borderId="0" xfId="0" applyFont="1" applyFill="1" applyAlignment="1">
      <alignment horizontal="center" vertical="center" wrapText="1"/>
    </xf>
    <xf numFmtId="0" fontId="41" fillId="37" borderId="17" xfId="0" applyFont="1" applyFill="1" applyBorder="1" applyAlignment="1">
      <alignment horizontal="center" vertical="center" wrapText="1"/>
    </xf>
    <xf numFmtId="0" fontId="32" fillId="0" borderId="16" xfId="0" applyFont="1" applyBorder="1" applyAlignment="1">
      <alignment horizontal="center" wrapText="1"/>
    </xf>
    <xf numFmtId="0" fontId="32" fillId="0" borderId="0" xfId="0" applyFont="1" applyAlignment="1">
      <alignment horizontal="center" wrapText="1"/>
    </xf>
    <xf numFmtId="0" fontId="32" fillId="0" borderId="17" xfId="0" applyFont="1" applyBorder="1" applyAlignment="1">
      <alignment horizontal="center" wrapText="1"/>
    </xf>
    <xf numFmtId="0" fontId="32" fillId="0" borderId="35" xfId="0" applyFont="1" applyBorder="1" applyAlignment="1">
      <alignment horizontal="center" wrapText="1"/>
    </xf>
    <xf numFmtId="0" fontId="32" fillId="0" borderId="36" xfId="0" applyFont="1" applyBorder="1" applyAlignment="1">
      <alignment horizontal="center" wrapText="1"/>
    </xf>
    <xf numFmtId="0" fontId="32" fillId="0" borderId="37" xfId="0" applyFont="1" applyBorder="1" applyAlignment="1">
      <alignment horizontal="center" wrapText="1"/>
    </xf>
    <xf numFmtId="0" fontId="27" fillId="36" borderId="16" xfId="0" applyFont="1" applyFill="1" applyBorder="1" applyAlignment="1">
      <alignment horizontal="left"/>
    </xf>
    <xf numFmtId="0" fontId="27" fillId="36" borderId="0" xfId="0" applyFont="1" applyFill="1" applyAlignment="1">
      <alignment horizontal="left"/>
    </xf>
    <xf numFmtId="0" fontId="0" fillId="36" borderId="17" xfId="0" applyFill="1" applyBorder="1"/>
    <xf numFmtId="0" fontId="26" fillId="0" borderId="38" xfId="0" applyFont="1" applyBorder="1" applyAlignment="1">
      <alignment horizontal="left" vertical="center"/>
    </xf>
    <xf numFmtId="0" fontId="26" fillId="0" borderId="39" xfId="0" applyFont="1" applyBorder="1" applyAlignment="1">
      <alignment horizontal="left" vertical="center"/>
    </xf>
    <xf numFmtId="0" fontId="26" fillId="0" borderId="41" xfId="0" applyFont="1" applyBorder="1" applyAlignment="1">
      <alignment horizontal="left" vertical="center"/>
    </xf>
    <xf numFmtId="0" fontId="32" fillId="40" borderId="40" xfId="0" applyFont="1" applyFill="1" applyBorder="1" applyAlignment="1">
      <alignment horizontal="left" wrapText="1"/>
    </xf>
    <xf numFmtId="0" fontId="32" fillId="40" borderId="40" xfId="0" applyFont="1" applyFill="1" applyBorder="1" applyAlignment="1">
      <alignment horizontal="center" wrapText="1"/>
    </xf>
    <xf numFmtId="0" fontId="32" fillId="0" borderId="40" xfId="0" applyFont="1" applyBorder="1" applyAlignment="1">
      <alignment horizontal="left" wrapText="1"/>
    </xf>
    <xf numFmtId="166" fontId="23" fillId="0" borderId="40" xfId="0" applyNumberFormat="1" applyFont="1" applyBorder="1" applyAlignment="1">
      <alignment horizontal="center" wrapText="1"/>
    </xf>
    <xf numFmtId="0" fontId="26" fillId="40" borderId="32" xfId="0" applyFont="1" applyFill="1" applyBorder="1" applyAlignment="1">
      <alignment horizontal="center" vertical="center"/>
    </xf>
    <xf numFmtId="0" fontId="26" fillId="40" borderId="34" xfId="0" applyFont="1" applyFill="1" applyBorder="1" applyAlignment="1">
      <alignment horizontal="center" vertical="center"/>
    </xf>
    <xf numFmtId="0" fontId="0" fillId="0" borderId="38" xfId="0" applyBorder="1" applyAlignment="1">
      <alignment horizontal="center"/>
    </xf>
    <xf numFmtId="0" fontId="0" fillId="0" borderId="39" xfId="0" applyBorder="1" applyAlignment="1">
      <alignment horizontal="center"/>
    </xf>
    <xf numFmtId="0" fontId="0" fillId="0" borderId="41" xfId="0" applyBorder="1" applyAlignment="1">
      <alignment horizontal="center"/>
    </xf>
    <xf numFmtId="0" fontId="57" fillId="36" borderId="0" xfId="0" applyFont="1" applyFill="1" applyBorder="1" applyAlignment="1">
      <alignment horizontal="right" vertical="center" wrapText="1"/>
    </xf>
    <xf numFmtId="0" fontId="21" fillId="36" borderId="127" xfId="0" applyFont="1" applyFill="1" applyBorder="1" applyAlignment="1">
      <alignment horizontal="center" vertical="center" wrapText="1"/>
    </xf>
    <xf numFmtId="0" fontId="18" fillId="0" borderId="73" xfId="0" applyFont="1" applyBorder="1" applyAlignment="1">
      <alignment horizontal="right" vertical="top" wrapText="1"/>
    </xf>
    <xf numFmtId="0" fontId="18" fillId="0" borderId="74" xfId="0" applyFont="1" applyBorder="1" applyAlignment="1">
      <alignment horizontal="right" vertical="top" wrapText="1"/>
    </xf>
    <xf numFmtId="0" fontId="18" fillId="0" borderId="75" xfId="0" applyFont="1" applyBorder="1" applyAlignment="1">
      <alignment horizontal="right" vertical="top" wrapText="1"/>
    </xf>
    <xf numFmtId="0" fontId="18" fillId="0" borderId="69" xfId="0" applyFont="1" applyFill="1" applyBorder="1" applyAlignment="1">
      <alignment horizontal="right" vertical="top" wrapText="1"/>
    </xf>
    <xf numFmtId="0" fontId="18" fillId="0" borderId="70" xfId="0" applyFont="1" applyFill="1" applyBorder="1" applyAlignment="1">
      <alignment horizontal="right" vertical="top" wrapText="1"/>
    </xf>
    <xf numFmtId="0" fontId="18" fillId="0" borderId="71" xfId="0" applyFont="1" applyFill="1" applyBorder="1" applyAlignment="1">
      <alignment horizontal="right" vertical="top" wrapText="1"/>
    </xf>
    <xf numFmtId="0" fontId="18" fillId="0" borderId="10" xfId="0" applyFont="1" applyBorder="1" applyAlignment="1">
      <alignment horizontal="right" vertical="top" wrapText="1"/>
    </xf>
    <xf numFmtId="0" fontId="18" fillId="0" borderId="0" xfId="0" applyFont="1" applyBorder="1" applyAlignment="1">
      <alignment horizontal="right" vertical="top" wrapText="1"/>
    </xf>
    <xf numFmtId="0" fontId="18" fillId="0" borderId="72" xfId="0" applyFont="1" applyBorder="1" applyAlignment="1">
      <alignment horizontal="right" vertical="top" wrapText="1"/>
    </xf>
    <xf numFmtId="0" fontId="18" fillId="0" borderId="69" xfId="0" applyFont="1" applyBorder="1" applyAlignment="1">
      <alignment horizontal="right" vertical="top" wrapText="1"/>
    </xf>
    <xf numFmtId="0" fontId="18" fillId="0" borderId="70" xfId="0" applyFont="1" applyBorder="1" applyAlignment="1">
      <alignment horizontal="right" vertical="top" wrapText="1"/>
    </xf>
    <xf numFmtId="0" fontId="18" fillId="0" borderId="71" xfId="0" applyFont="1" applyBorder="1" applyAlignment="1">
      <alignment horizontal="right" vertical="top" wrapText="1"/>
    </xf>
    <xf numFmtId="0" fontId="58" fillId="37" borderId="124" xfId="0" applyFont="1" applyFill="1" applyBorder="1" applyAlignment="1">
      <alignment horizontal="center" vertical="center" wrapText="1"/>
    </xf>
    <xf numFmtId="0" fontId="58" fillId="37" borderId="125" xfId="0" applyFont="1" applyFill="1" applyBorder="1" applyAlignment="1">
      <alignment horizontal="center" vertical="center" wrapText="1"/>
    </xf>
    <xf numFmtId="0" fontId="58" fillId="37" borderId="126" xfId="0" applyFont="1" applyFill="1" applyBorder="1" applyAlignment="1">
      <alignment horizontal="center" vertical="center" wrapText="1"/>
    </xf>
    <xf numFmtId="0" fontId="18" fillId="0" borderId="58" xfId="0" applyFont="1" applyBorder="1" applyAlignment="1">
      <alignment horizontal="right" vertical="top" wrapText="1"/>
    </xf>
    <xf numFmtId="0" fontId="18" fillId="0" borderId="55" xfId="0" applyFont="1" applyBorder="1" applyAlignment="1">
      <alignment horizontal="right" vertical="top" wrapText="1"/>
    </xf>
    <xf numFmtId="0" fontId="18" fillId="0" borderId="56" xfId="0" applyFont="1" applyBorder="1" applyAlignment="1">
      <alignment horizontal="right" vertical="top" wrapText="1"/>
    </xf>
    <xf numFmtId="0" fontId="18" fillId="0" borderId="60" xfId="0" applyFont="1" applyBorder="1" applyAlignment="1">
      <alignment horizontal="right" vertical="top" wrapText="1"/>
    </xf>
    <xf numFmtId="0" fontId="18" fillId="0" borderId="54" xfId="0" applyFont="1" applyBorder="1" applyAlignment="1">
      <alignment horizontal="right" vertical="top" wrapText="1"/>
    </xf>
    <xf numFmtId="0" fontId="18" fillId="0" borderId="53" xfId="0" applyFont="1" applyBorder="1" applyAlignment="1">
      <alignment horizontal="right" vertical="top" wrapText="1"/>
    </xf>
    <xf numFmtId="0" fontId="18" fillId="0" borderId="77" xfId="0" applyFont="1" applyBorder="1" applyAlignment="1">
      <alignment horizontal="right" vertical="top" wrapText="1"/>
    </xf>
    <xf numFmtId="0" fontId="18" fillId="0" borderId="78" xfId="0" applyFont="1" applyBorder="1" applyAlignment="1">
      <alignment horizontal="right" vertical="top" wrapText="1"/>
    </xf>
    <xf numFmtId="0" fontId="18" fillId="0" borderId="79" xfId="0" applyFont="1" applyBorder="1" applyAlignment="1">
      <alignment horizontal="right" vertical="top" wrapText="1"/>
    </xf>
    <xf numFmtId="0" fontId="34" fillId="0" borderId="59" xfId="0" applyFont="1" applyBorder="1" applyAlignment="1">
      <alignment horizontal="center" vertical="top" wrapText="1"/>
    </xf>
    <xf numFmtId="0" fontId="34" fillId="0" borderId="14" xfId="0" applyFont="1" applyBorder="1" applyAlignment="1">
      <alignment horizontal="center" vertical="top" wrapText="1"/>
    </xf>
    <xf numFmtId="0" fontId="34" fillId="0" borderId="80" xfId="0" applyFont="1" applyBorder="1" applyAlignment="1">
      <alignment horizontal="center" vertical="top" wrapText="1"/>
    </xf>
    <xf numFmtId="0" fontId="34" fillId="0" borderId="81" xfId="0" applyFont="1" applyBorder="1" applyAlignment="1">
      <alignment horizontal="center" vertical="top" wrapText="1"/>
    </xf>
    <xf numFmtId="0" fontId="34" fillId="0" borderId="82" xfId="0" applyFont="1" applyBorder="1" applyAlignment="1">
      <alignment horizontal="center" vertical="top" wrapText="1"/>
    </xf>
    <xf numFmtId="0" fontId="34" fillId="0" borderId="65" xfId="0" applyFont="1" applyBorder="1" applyAlignment="1">
      <alignment horizontal="center" vertical="top" wrapText="1"/>
    </xf>
    <xf numFmtId="0" fontId="18" fillId="0" borderId="59" xfId="0" applyFont="1" applyBorder="1" applyAlignment="1">
      <alignment horizontal="center" vertical="top" wrapText="1"/>
    </xf>
    <xf numFmtId="0" fontId="18" fillId="0" borderId="14" xfId="0" applyFont="1" applyBorder="1" applyAlignment="1">
      <alignment horizontal="center" vertical="top" wrapText="1"/>
    </xf>
    <xf numFmtId="10" fontId="0" fillId="41" borderId="0" xfId="0" applyNumberFormat="1" applyFill="1" applyAlignment="1">
      <alignment horizontal="center" vertical="center" wrapText="1"/>
    </xf>
    <xf numFmtId="0" fontId="18" fillId="0" borderId="85" xfId="0" applyFont="1" applyBorder="1" applyAlignment="1">
      <alignment horizontal="center" vertical="top" wrapText="1"/>
    </xf>
    <xf numFmtId="0" fontId="18" fillId="0" borderId="36" xfId="0" applyFont="1" applyBorder="1" applyAlignment="1">
      <alignment horizontal="center" vertical="top" wrapText="1"/>
    </xf>
    <xf numFmtId="0" fontId="18" fillId="0" borderId="73" xfId="0" applyFont="1" applyFill="1" applyBorder="1" applyAlignment="1">
      <alignment horizontal="right" vertical="top" wrapText="1"/>
    </xf>
    <xf numFmtId="0" fontId="18" fillId="0" borderId="74" xfId="0" applyFont="1" applyFill="1" applyBorder="1" applyAlignment="1">
      <alignment horizontal="right" vertical="top" wrapText="1"/>
    </xf>
    <xf numFmtId="0" fontId="18" fillId="0" borderId="75" xfId="0" applyFont="1" applyFill="1" applyBorder="1" applyAlignment="1">
      <alignment horizontal="right" vertical="top" wrapText="1"/>
    </xf>
    <xf numFmtId="0" fontId="18" fillId="0" borderId="10" xfId="0" applyFont="1" applyBorder="1" applyAlignment="1">
      <alignment horizontal="center" vertical="top" wrapText="1"/>
    </xf>
    <xf numFmtId="0" fontId="18" fillId="0" borderId="0" xfId="0" applyFont="1" applyBorder="1" applyAlignment="1">
      <alignment horizontal="center" vertical="top" wrapText="1"/>
    </xf>
    <xf numFmtId="0" fontId="18" fillId="0" borderId="81" xfId="0" applyFont="1" applyBorder="1" applyAlignment="1">
      <alignment horizontal="right" vertical="top" wrapText="1"/>
    </xf>
    <xf numFmtId="0" fontId="18" fillId="0" borderId="82" xfId="0" applyFont="1" applyBorder="1" applyAlignment="1">
      <alignment horizontal="right" vertical="top" wrapText="1"/>
    </xf>
    <xf numFmtId="0" fontId="18" fillId="0" borderId="65" xfId="0" applyFont="1" applyBorder="1" applyAlignment="1">
      <alignment horizontal="right" vertical="top" wrapText="1"/>
    </xf>
    <xf numFmtId="0" fontId="18" fillId="0" borderId="59" xfId="0" applyFont="1" applyBorder="1" applyAlignment="1">
      <alignment horizontal="right" vertical="top" wrapText="1"/>
    </xf>
    <xf numFmtId="0" fontId="18" fillId="0" borderId="14" xfId="0" applyFont="1" applyBorder="1" applyAlignment="1">
      <alignment horizontal="right" vertical="top" wrapText="1"/>
    </xf>
    <xf numFmtId="0" fontId="18" fillId="0" borderId="80" xfId="0" applyFont="1" applyBorder="1" applyAlignment="1">
      <alignment horizontal="right" vertical="top" wrapText="1"/>
    </xf>
    <xf numFmtId="0" fontId="18" fillId="0" borderId="92" xfId="0" applyFont="1" applyFill="1" applyBorder="1" applyAlignment="1">
      <alignment horizontal="right" vertical="top" wrapText="1"/>
    </xf>
    <xf numFmtId="0" fontId="18" fillId="0" borderId="93" xfId="0" applyFont="1" applyFill="1" applyBorder="1" applyAlignment="1">
      <alignment horizontal="right" vertical="top" wrapText="1"/>
    </xf>
    <xf numFmtId="0" fontId="18" fillId="0" borderId="69" xfId="0" applyFont="1" applyBorder="1" applyAlignment="1">
      <alignment horizontal="right" vertical="top"/>
    </xf>
    <xf numFmtId="0" fontId="18" fillId="0" borderId="70" xfId="0" applyFont="1" applyBorder="1" applyAlignment="1">
      <alignment horizontal="right" vertical="top"/>
    </xf>
    <xf numFmtId="0" fontId="18" fillId="0" borderId="71" xfId="0" applyFont="1" applyBorder="1" applyAlignment="1">
      <alignment horizontal="right" vertical="top"/>
    </xf>
    <xf numFmtId="0" fontId="18" fillId="0" borderId="96" xfId="0" applyFont="1" applyBorder="1" applyAlignment="1">
      <alignment horizontal="center" vertical="top" wrapText="1"/>
    </xf>
    <xf numFmtId="0" fontId="18" fillId="0" borderId="39" xfId="0" applyFont="1" applyBorder="1" applyAlignment="1">
      <alignment horizontal="center" vertical="top" wrapText="1"/>
    </xf>
    <xf numFmtId="0" fontId="18" fillId="0" borderId="69" xfId="0" applyFont="1" applyFill="1" applyBorder="1" applyAlignment="1">
      <alignment horizontal="right" vertical="top"/>
    </xf>
    <xf numFmtId="0" fontId="18" fillId="0" borderId="70" xfId="0" applyFont="1" applyFill="1" applyBorder="1" applyAlignment="1">
      <alignment horizontal="right" vertical="top"/>
    </xf>
    <xf numFmtId="0" fontId="18" fillId="0" borderId="71" xfId="0" applyFont="1" applyFill="1" applyBorder="1" applyAlignment="1">
      <alignment horizontal="right" vertical="top"/>
    </xf>
    <xf numFmtId="0" fontId="18" fillId="0" borderId="10" xfId="0"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72" xfId="0" applyFont="1" applyFill="1" applyBorder="1" applyAlignment="1">
      <alignment horizontal="right" vertical="top" wrapText="1"/>
    </xf>
    <xf numFmtId="0" fontId="18" fillId="0" borderId="99" xfId="0" applyFont="1" applyBorder="1" applyAlignment="1">
      <alignment horizontal="right" vertical="top" wrapText="1"/>
    </xf>
    <xf numFmtId="0" fontId="34" fillId="0" borderId="10" xfId="0" applyFont="1" applyBorder="1" applyAlignment="1">
      <alignment horizontal="center" vertical="top" wrapText="1"/>
    </xf>
    <xf numFmtId="0" fontId="34" fillId="0" borderId="0" xfId="0" applyFont="1" applyBorder="1" applyAlignment="1">
      <alignment horizontal="center" vertical="top" wrapText="1"/>
    </xf>
    <xf numFmtId="0" fontId="34" fillId="0" borderId="72" xfId="0" applyFont="1" applyBorder="1" applyAlignment="1">
      <alignment horizontal="center" vertical="top" wrapText="1"/>
    </xf>
  </cellXfs>
  <cellStyles count="46">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Moeda" xfId="45" builtinId="4"/>
    <cellStyle name="Neutro" xfId="8" builtinId="28" customBuiltin="1"/>
    <cellStyle name="Normal" xfId="0" builtinId="0"/>
    <cellStyle name="Normal_Diversos" xfId="44" xr:uid="{00000000-0005-0000-0000-000020000000}"/>
    <cellStyle name="Nota" xfId="15" builtinId="10" customBuiltin="1"/>
    <cellStyle name="Porcentagem" xfId="42" builtinId="5"/>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 name="Vírgula" xfId="4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12</xdr:col>
      <xdr:colOff>284485</xdr:colOff>
      <xdr:row>2</xdr:row>
      <xdr:rowOff>73611</xdr:rowOff>
    </xdr:from>
    <xdr:to>
      <xdr:col>12</xdr:col>
      <xdr:colOff>1355482</xdr:colOff>
      <xdr:row>9</xdr:row>
      <xdr:rowOff>50395</xdr:rowOff>
    </xdr:to>
    <xdr:pic>
      <xdr:nvPicPr>
        <xdr:cNvPr id="2" name="Imagem 1" descr="http://www.educadores.diaadia.pr.gov.br/modules/galeria/uploads/10/normal_1409848497distrito_federal_brasao.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61460" y="445086"/>
          <a:ext cx="1109097" cy="1424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582084</xdr:colOff>
      <xdr:row>4</xdr:row>
      <xdr:rowOff>127000</xdr:rowOff>
    </xdr:from>
    <xdr:to>
      <xdr:col>6</xdr:col>
      <xdr:colOff>560918</xdr:colOff>
      <xdr:row>8</xdr:row>
      <xdr:rowOff>165100</xdr:rowOff>
    </xdr:to>
    <xdr:pic>
      <xdr:nvPicPr>
        <xdr:cNvPr id="2" name="image1.jpe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16309" y="860425"/>
          <a:ext cx="893233"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582084</xdr:colOff>
      <xdr:row>4</xdr:row>
      <xdr:rowOff>127000</xdr:rowOff>
    </xdr:from>
    <xdr:to>
      <xdr:col>6</xdr:col>
      <xdr:colOff>560918</xdr:colOff>
      <xdr:row>8</xdr:row>
      <xdr:rowOff>165100</xdr:rowOff>
    </xdr:to>
    <xdr:pic>
      <xdr:nvPicPr>
        <xdr:cNvPr id="2" name="image1.jpe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87684" y="860425"/>
          <a:ext cx="893234" cy="800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582084</xdr:colOff>
      <xdr:row>4</xdr:row>
      <xdr:rowOff>127000</xdr:rowOff>
    </xdr:from>
    <xdr:to>
      <xdr:col>6</xdr:col>
      <xdr:colOff>560918</xdr:colOff>
      <xdr:row>8</xdr:row>
      <xdr:rowOff>165100</xdr:rowOff>
    </xdr:to>
    <xdr:pic>
      <xdr:nvPicPr>
        <xdr:cNvPr id="2" name="image1.jpe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59159" y="889000"/>
          <a:ext cx="893234" cy="800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400050</xdr:colOff>
      <xdr:row>1</xdr:row>
      <xdr:rowOff>171450</xdr:rowOff>
    </xdr:from>
    <xdr:to>
      <xdr:col>4</xdr:col>
      <xdr:colOff>60325</xdr:colOff>
      <xdr:row>5</xdr:row>
      <xdr:rowOff>152400</xdr:rowOff>
    </xdr:to>
    <xdr:pic>
      <xdr:nvPicPr>
        <xdr:cNvPr id="2" name="image1.jpe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8400" y="304800"/>
          <a:ext cx="889000" cy="952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306915</xdr:colOff>
      <xdr:row>2</xdr:row>
      <xdr:rowOff>84667</xdr:rowOff>
    </xdr:from>
    <xdr:to>
      <xdr:col>9</xdr:col>
      <xdr:colOff>433915</xdr:colOff>
      <xdr:row>7</xdr:row>
      <xdr:rowOff>121708</xdr:rowOff>
    </xdr:to>
    <xdr:pic>
      <xdr:nvPicPr>
        <xdr:cNvPr id="2" name="image1.jpe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88940" y="465667"/>
          <a:ext cx="1041400" cy="11324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32</xdr:row>
          <xdr:rowOff>9525</xdr:rowOff>
        </xdr:from>
        <xdr:to>
          <xdr:col>4</xdr:col>
          <xdr:colOff>114300</xdr:colOff>
          <xdr:row>37</xdr:row>
          <xdr:rowOff>66675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32</xdr:row>
          <xdr:rowOff>9525</xdr:rowOff>
        </xdr:from>
        <xdr:to>
          <xdr:col>4</xdr:col>
          <xdr:colOff>114300</xdr:colOff>
          <xdr:row>37</xdr:row>
          <xdr:rowOff>66675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_PROENGE\BKP\HD1\Documents%20and%20Settings\AERONAUTICA\COMAR\NuBDAAE\OR&#199;AMENTO\OR&#199;AMENTO_R04\ORCA_1BDAAE_R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_PROENGE\BKP\HD1\Documents%20and%20Settings\ArqBR-CODHAB\OR&#199;AMENTOS\OR&#199;AMENTO%20DESONERADO\Orca_Crixa_desoner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qBr-CODHAB/OR&#199;AMENTO%20DESONERADO/Or&#231;amento_Desonerado/Orca_Crixa_desonerado_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qBr-CODHAB/Or&#231;amento%20Desonerado/Orca_Crixa_desonerado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I"/>
      <sheetName val="Resumo"/>
      <sheetName val="Orçamento"/>
      <sheetName val="Cronograma"/>
      <sheetName val="Composicoes"/>
      <sheetName val="Cotações"/>
      <sheetName val="Plan1"/>
    </sheetNames>
    <sheetDataSet>
      <sheetData sheetId="0"/>
      <sheetData sheetId="1"/>
      <sheetData sheetId="2">
        <row r="11">
          <cell r="B11" t="str">
            <v>02.00.000</v>
          </cell>
          <cell r="D11" t="str">
            <v>SERVIÇOS PRELIMINARES</v>
          </cell>
        </row>
        <row r="62">
          <cell r="B62" t="str">
            <v>03.00.000</v>
          </cell>
          <cell r="D62" t="str">
            <v xml:space="preserve">FUNDAÇÕES E ESTRUTURAS </v>
          </cell>
        </row>
        <row r="124">
          <cell r="B124" t="str">
            <v>04.00.000</v>
          </cell>
          <cell r="D124" t="str">
            <v>ARQUITETURA E ELEMENTOS DE URBANISMO</v>
          </cell>
        </row>
        <row r="350">
          <cell r="B350" t="str">
            <v>05.00.000</v>
          </cell>
          <cell r="D350" t="str">
            <v xml:space="preserve">INSTALAÇÕES HIDRÁULICAS E SANITÁRIAS </v>
          </cell>
        </row>
        <row r="532">
          <cell r="B532" t="str">
            <v>06.00.000</v>
          </cell>
          <cell r="D532" t="str">
            <v>INSTALAÇÕES ELÉTRICAS E ELETRÔNICAS</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CA"/>
      <sheetName val="RESUMO"/>
      <sheetName val="CRONOGRAMA"/>
      <sheetName val="BDI"/>
    </sheetNames>
    <sheetDataSet>
      <sheetData sheetId="0" refreshError="1">
        <row r="173">
          <cell r="A173" t="str">
            <v>03.03.000</v>
          </cell>
          <cell r="B173" t="str">
            <v>Estruturas Metálicas</v>
          </cell>
        </row>
        <row r="181">
          <cell r="A181" t="str">
            <v>04.01.100</v>
          </cell>
          <cell r="B181" t="str">
            <v>Paredes</v>
          </cell>
        </row>
        <row r="197">
          <cell r="A197" t="str">
            <v>04.01.200</v>
          </cell>
          <cell r="B197" t="str">
            <v>Esquadrias</v>
          </cell>
        </row>
        <row r="237">
          <cell r="A237" t="str">
            <v>04.01.240</v>
          </cell>
          <cell r="B237" t="str">
            <v>Portas e Janelas de vidro</v>
          </cell>
        </row>
        <row r="245">
          <cell r="A245" t="str">
            <v>04.01.300</v>
          </cell>
        </row>
        <row r="264">
          <cell r="A264" t="str">
            <v>04.01.510</v>
          </cell>
        </row>
        <row r="387">
          <cell r="A387" t="str">
            <v>05.01.000</v>
          </cell>
          <cell r="B387" t="str">
            <v>Água Fria</v>
          </cell>
        </row>
        <row r="429">
          <cell r="A429" t="str">
            <v>05.01.500</v>
          </cell>
        </row>
        <row r="453">
          <cell r="A453" t="str">
            <v>05.03.000</v>
          </cell>
          <cell r="B453" t="str">
            <v>Drenagem de Águas Pluviais</v>
          </cell>
        </row>
        <row r="471">
          <cell r="A471" t="str">
            <v>05.04.000</v>
          </cell>
          <cell r="B471" t="str">
            <v>Esgotos Sanitários</v>
          </cell>
        </row>
        <row r="509">
          <cell r="A509" t="str">
            <v>06.01.000</v>
          </cell>
          <cell r="B509" t="str">
            <v>Instalações Elétricas</v>
          </cell>
        </row>
        <row r="569">
          <cell r="A569" t="str">
            <v>06.01.400</v>
          </cell>
        </row>
        <row r="605">
          <cell r="A605" t="str">
            <v>06.02.000</v>
          </cell>
          <cell r="B605" t="str">
            <v>Telefonia Antena de TV</v>
          </cell>
        </row>
        <row r="639">
          <cell r="A639" t="str">
            <v>06.03.000</v>
          </cell>
          <cell r="B639" t="str">
            <v>Detecção e Alarme de Incêndio</v>
          </cell>
        </row>
        <row r="682">
          <cell r="A682" t="str">
            <v>07.07.000</v>
          </cell>
          <cell r="B682" t="str">
            <v>Gás Combustível</v>
          </cell>
        </row>
        <row r="688">
          <cell r="A688" t="str">
            <v>08.00.000</v>
          </cell>
          <cell r="B688" t="str">
            <v>INSTALAÇÕES DE PREVENÇÃO E COMBATE A INCÊNDIO</v>
          </cell>
        </row>
        <row r="731">
          <cell r="A731" t="str">
            <v>09.00.000</v>
          </cell>
          <cell r="B731" t="str">
            <v>SERVIÇOS COMPLEMENTARES</v>
          </cell>
        </row>
        <row r="744">
          <cell r="A744" t="str">
            <v>10.00.000</v>
          </cell>
          <cell r="B744" t="str">
            <v>SERVIÇOS AUXILIARES E ADMINISTRATIVOS</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CA"/>
      <sheetName val="RESUMO"/>
      <sheetName val="CRONOGRAMA"/>
      <sheetName val="BDI"/>
      <sheetName val="CPU"/>
    </sheetNames>
    <sheetDataSet>
      <sheetData sheetId="0" refreshError="1"/>
      <sheetData sheetId="1">
        <row r="8">
          <cell r="B8" t="str">
            <v>BDI:</v>
          </cell>
        </row>
        <row r="49">
          <cell r="B49" t="str">
            <v>08.00.000</v>
          </cell>
          <cell r="C49" t="str">
            <v>INSTALAÇÕES DE PREVENÇÃO E COMBATE A INCÊNDIO</v>
          </cell>
        </row>
      </sheetData>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CA"/>
      <sheetName val="RESUMO"/>
      <sheetName val="CRONOGRAMA"/>
      <sheetName val="BDI"/>
      <sheetName val="CPU"/>
    </sheetNames>
    <sheetDataSet>
      <sheetData sheetId="0"/>
      <sheetData sheetId="1">
        <row r="50">
          <cell r="B50" t="str">
            <v>09.00.000</v>
          </cell>
          <cell r="C50" t="str">
            <v>SERVIÇOS COMPLEMENTARES</v>
          </cell>
        </row>
        <row r="51">
          <cell r="B51" t="str">
            <v>10.00.000</v>
          </cell>
          <cell r="C51" t="str">
            <v>SERVIÇOS AUXILIARES E ADMINISTRATIVOS</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B93A0-9105-45F7-8BDC-66F38D966EA4}">
  <sheetPr>
    <pageSetUpPr fitToPage="1"/>
  </sheetPr>
  <dimension ref="A1:AI136"/>
  <sheetViews>
    <sheetView tabSelected="1" topLeftCell="A16" zoomScaleNormal="100" workbookViewId="0">
      <selection activeCell="T39" sqref="T39"/>
    </sheetView>
  </sheetViews>
  <sheetFormatPr defaultColWidth="8.85546875" defaultRowHeight="15"/>
  <cols>
    <col min="1" max="1" width="2.7109375" style="317" customWidth="1"/>
    <col min="2" max="2" width="3.42578125" style="224" customWidth="1"/>
    <col min="3" max="4" width="8.85546875" style="224"/>
    <col min="5" max="5" width="6.28515625" style="224" customWidth="1"/>
    <col min="6" max="12" width="8.85546875" style="224"/>
    <col min="13" max="13" width="23.42578125" style="224" bestFit="1" customWidth="1"/>
    <col min="14" max="14" width="3.42578125" style="224" customWidth="1"/>
    <col min="15" max="35" width="8.85546875" style="317"/>
    <col min="36" max="16384" width="8.85546875" style="224"/>
  </cols>
  <sheetData>
    <row r="1" spans="2:16" s="317" customFormat="1" ht="15.75" thickBot="1"/>
    <row r="2" spans="2:16" ht="13.9" customHeight="1" thickBot="1">
      <c r="B2" s="298"/>
      <c r="C2" s="299"/>
      <c r="D2" s="299"/>
      <c r="E2" s="299"/>
      <c r="F2" s="299"/>
      <c r="G2" s="299"/>
      <c r="H2" s="299"/>
      <c r="I2" s="299"/>
      <c r="J2" s="299"/>
      <c r="K2" s="299"/>
      <c r="L2" s="299"/>
      <c r="M2" s="299"/>
      <c r="N2" s="300"/>
      <c r="O2" s="305"/>
      <c r="P2" s="305"/>
    </row>
    <row r="3" spans="2:16">
      <c r="B3" s="301"/>
      <c r="C3" s="302"/>
      <c r="D3" s="299"/>
      <c r="E3" s="299"/>
      <c r="F3" s="299"/>
      <c r="G3" s="299"/>
      <c r="H3" s="299"/>
      <c r="I3" s="299"/>
      <c r="J3" s="299"/>
      <c r="K3" s="299"/>
      <c r="L3" s="299"/>
      <c r="M3" s="300"/>
      <c r="N3" s="303"/>
      <c r="O3" s="305"/>
      <c r="P3" s="305"/>
    </row>
    <row r="4" spans="2:16">
      <c r="B4" s="301"/>
      <c r="C4" s="304"/>
      <c r="D4" s="305"/>
      <c r="E4" s="305"/>
      <c r="F4" s="305"/>
      <c r="G4" s="305"/>
      <c r="H4" s="305"/>
      <c r="I4" s="305"/>
      <c r="J4" s="305"/>
      <c r="K4" s="305"/>
      <c r="L4" s="305"/>
      <c r="M4" s="303"/>
      <c r="N4" s="303"/>
      <c r="O4" s="305"/>
      <c r="P4" s="305"/>
    </row>
    <row r="5" spans="2:16">
      <c r="B5" s="301"/>
      <c r="C5" s="304"/>
      <c r="D5" s="305"/>
      <c r="E5" s="305"/>
      <c r="F5" s="305"/>
      <c r="G5" s="305"/>
      <c r="H5" s="305"/>
      <c r="I5" s="305"/>
      <c r="J5" s="305"/>
      <c r="K5" s="305"/>
      <c r="L5" s="305"/>
      <c r="M5" s="303"/>
      <c r="N5" s="303"/>
      <c r="O5" s="305"/>
      <c r="P5" s="305"/>
    </row>
    <row r="6" spans="2:16">
      <c r="B6" s="301"/>
      <c r="C6" s="304"/>
      <c r="D6" s="305"/>
      <c r="E6" s="305"/>
      <c r="F6" s="305"/>
      <c r="G6" s="305"/>
      <c r="H6" s="305"/>
      <c r="I6" s="305"/>
      <c r="J6" s="305"/>
      <c r="K6" s="305"/>
      <c r="L6" s="305"/>
      <c r="M6" s="303"/>
      <c r="N6" s="303"/>
      <c r="O6" s="305"/>
      <c r="P6" s="305"/>
    </row>
    <row r="7" spans="2:16" ht="18">
      <c r="B7" s="301"/>
      <c r="C7" s="461" t="s">
        <v>2238</v>
      </c>
      <c r="D7" s="462"/>
      <c r="E7" s="462"/>
      <c r="F7" s="462"/>
      <c r="G7" s="462"/>
      <c r="H7" s="462"/>
      <c r="I7" s="462"/>
      <c r="J7" s="462"/>
      <c r="K7" s="462"/>
      <c r="L7" s="462"/>
      <c r="M7" s="463"/>
      <c r="N7" s="303"/>
      <c r="O7" s="305"/>
      <c r="P7" s="305"/>
    </row>
    <row r="8" spans="2:16" ht="18">
      <c r="B8" s="301"/>
      <c r="C8" s="464" t="s">
        <v>2240</v>
      </c>
      <c r="D8" s="465"/>
      <c r="E8" s="465"/>
      <c r="F8" s="465"/>
      <c r="G8" s="465"/>
      <c r="H8" s="465"/>
      <c r="I8" s="465"/>
      <c r="J8" s="465"/>
      <c r="K8" s="465"/>
      <c r="L8" s="465"/>
      <c r="M8" s="466"/>
      <c r="N8" s="303"/>
      <c r="O8" s="305"/>
      <c r="P8" s="305"/>
    </row>
    <row r="9" spans="2:16" ht="18">
      <c r="B9" s="301"/>
      <c r="C9" s="464" t="s">
        <v>2241</v>
      </c>
      <c r="D9" s="465"/>
      <c r="E9" s="465"/>
      <c r="F9" s="465"/>
      <c r="G9" s="465"/>
      <c r="H9" s="465"/>
      <c r="I9" s="465"/>
      <c r="J9" s="465"/>
      <c r="K9" s="465"/>
      <c r="L9" s="465"/>
      <c r="M9" s="466"/>
      <c r="N9" s="303"/>
      <c r="O9" s="305"/>
      <c r="P9" s="305"/>
    </row>
    <row r="10" spans="2:16">
      <c r="B10" s="301"/>
      <c r="C10" s="304"/>
      <c r="D10" s="305"/>
      <c r="E10" s="305"/>
      <c r="F10" s="305"/>
      <c r="G10" s="305"/>
      <c r="H10" s="305"/>
      <c r="I10" s="305"/>
      <c r="J10" s="305"/>
      <c r="K10" s="305"/>
      <c r="L10" s="305"/>
      <c r="M10" s="303"/>
      <c r="N10" s="303"/>
      <c r="O10" s="305"/>
      <c r="P10" s="305"/>
    </row>
    <row r="11" spans="2:16" ht="18">
      <c r="B11" s="301"/>
      <c r="C11" s="467" t="s">
        <v>2752</v>
      </c>
      <c r="D11" s="468"/>
      <c r="E11" s="468"/>
      <c r="F11" s="468"/>
      <c r="G11" s="468"/>
      <c r="H11" s="468"/>
      <c r="I11" s="468"/>
      <c r="J11" s="468"/>
      <c r="K11" s="468"/>
      <c r="L11" s="468"/>
      <c r="M11" s="469"/>
      <c r="N11" s="303"/>
      <c r="O11" s="305"/>
      <c r="P11" s="305"/>
    </row>
    <row r="12" spans="2:16" ht="15.75" thickBot="1">
      <c r="B12" s="301"/>
      <c r="C12" s="470" t="s">
        <v>2753</v>
      </c>
      <c r="D12" s="471"/>
      <c r="E12" s="471"/>
      <c r="F12" s="471"/>
      <c r="G12" s="471"/>
      <c r="H12" s="471"/>
      <c r="I12" s="471"/>
      <c r="J12" s="471"/>
      <c r="K12" s="471"/>
      <c r="L12" s="471"/>
      <c r="M12" s="472"/>
      <c r="N12" s="303"/>
      <c r="O12" s="305"/>
      <c r="P12" s="305"/>
    </row>
    <row r="13" spans="2:16" ht="9" customHeight="1" thickBot="1">
      <c r="B13" s="301"/>
      <c r="C13" s="225"/>
      <c r="D13" s="225"/>
      <c r="E13" s="225"/>
      <c r="F13" s="225"/>
      <c r="G13" s="225"/>
      <c r="H13" s="225"/>
      <c r="I13" s="225"/>
      <c r="J13" s="225"/>
      <c r="K13" s="225"/>
      <c r="L13" s="225"/>
      <c r="M13" s="225"/>
      <c r="N13" s="303"/>
      <c r="O13" s="305"/>
      <c r="P13" s="305"/>
    </row>
    <row r="14" spans="2:16">
      <c r="B14" s="301"/>
      <c r="C14" s="302"/>
      <c r="D14" s="299"/>
      <c r="E14" s="299"/>
      <c r="F14" s="299"/>
      <c r="G14" s="299"/>
      <c r="H14" s="299"/>
      <c r="I14" s="299"/>
      <c r="J14" s="299"/>
      <c r="K14" s="299"/>
      <c r="L14" s="299"/>
      <c r="M14" s="300"/>
      <c r="N14" s="303"/>
      <c r="O14" s="305"/>
      <c r="P14" s="305"/>
    </row>
    <row r="15" spans="2:16">
      <c r="B15" s="301"/>
      <c r="C15" s="304"/>
      <c r="D15" s="305"/>
      <c r="E15" s="305"/>
      <c r="F15" s="305"/>
      <c r="G15" s="305"/>
      <c r="H15" s="305"/>
      <c r="I15" s="305"/>
      <c r="J15" s="305"/>
      <c r="K15" s="305"/>
      <c r="L15" s="305"/>
      <c r="M15" s="303"/>
      <c r="N15" s="303"/>
      <c r="O15" s="305"/>
      <c r="P15" s="305"/>
    </row>
    <row r="16" spans="2:16">
      <c r="B16" s="301"/>
      <c r="C16" s="304"/>
      <c r="D16" s="305"/>
      <c r="E16" s="305"/>
      <c r="F16" s="305"/>
      <c r="G16" s="305"/>
      <c r="H16" s="305"/>
      <c r="I16" s="305"/>
      <c r="J16" s="305"/>
      <c r="K16" s="305"/>
      <c r="L16" s="305"/>
      <c r="M16" s="303"/>
      <c r="N16" s="303"/>
      <c r="O16" s="305"/>
      <c r="P16" s="305"/>
    </row>
    <row r="17" spans="2:16">
      <c r="B17" s="301"/>
      <c r="C17" s="304"/>
      <c r="D17" s="305"/>
      <c r="E17" s="305"/>
      <c r="F17" s="305"/>
      <c r="G17" s="305"/>
      <c r="H17" s="305"/>
      <c r="I17" s="305"/>
      <c r="J17" s="305"/>
      <c r="K17" s="305"/>
      <c r="L17" s="305"/>
      <c r="M17" s="303"/>
      <c r="N17" s="303"/>
      <c r="O17" s="305"/>
      <c r="P17" s="305"/>
    </row>
    <row r="18" spans="2:16" ht="15.75">
      <c r="B18" s="301"/>
      <c r="C18" s="306" t="s">
        <v>2754</v>
      </c>
      <c r="D18" s="307"/>
      <c r="E18" s="305"/>
      <c r="F18" s="307" t="s">
        <v>2755</v>
      </c>
      <c r="G18" s="305"/>
      <c r="H18" s="305"/>
      <c r="I18" s="305"/>
      <c r="J18" s="305"/>
      <c r="K18" s="305"/>
      <c r="L18" s="305"/>
      <c r="M18" s="303"/>
      <c r="N18" s="303"/>
      <c r="O18" s="305"/>
      <c r="P18" s="305"/>
    </row>
    <row r="19" spans="2:16" ht="15.75">
      <c r="B19" s="301"/>
      <c r="C19" s="308"/>
      <c r="D19" s="305"/>
      <c r="E19" s="305"/>
      <c r="F19" s="305"/>
      <c r="G19" s="305"/>
      <c r="H19" s="305"/>
      <c r="I19" s="305"/>
      <c r="J19" s="305"/>
      <c r="K19" s="305"/>
      <c r="L19" s="305"/>
      <c r="M19" s="303"/>
      <c r="N19" s="303"/>
      <c r="O19" s="305"/>
      <c r="P19" s="305"/>
    </row>
    <row r="20" spans="2:16" ht="15.75">
      <c r="B20" s="301"/>
      <c r="C20" s="308"/>
      <c r="D20" s="305"/>
      <c r="E20" s="305"/>
      <c r="F20" s="305"/>
      <c r="G20" s="305"/>
      <c r="H20" s="305"/>
      <c r="I20" s="305"/>
      <c r="J20" s="305"/>
      <c r="K20" s="305"/>
      <c r="L20" s="305"/>
      <c r="M20" s="303"/>
      <c r="N20" s="303"/>
      <c r="O20" s="305"/>
      <c r="P20" s="305"/>
    </row>
    <row r="21" spans="2:16" ht="15.75">
      <c r="B21" s="301"/>
      <c r="C21" s="308"/>
      <c r="D21" s="305"/>
      <c r="E21" s="305"/>
      <c r="F21" s="305"/>
      <c r="G21" s="305"/>
      <c r="H21" s="305"/>
      <c r="I21" s="305"/>
      <c r="J21" s="305"/>
      <c r="K21" s="305"/>
      <c r="L21" s="305"/>
      <c r="M21" s="303"/>
      <c r="N21" s="303"/>
      <c r="O21" s="305"/>
      <c r="P21" s="305"/>
    </row>
    <row r="22" spans="2:16" ht="15.75">
      <c r="B22" s="301"/>
      <c r="C22" s="308"/>
      <c r="D22" s="305"/>
      <c r="E22" s="305"/>
      <c r="F22" s="305"/>
      <c r="G22" s="305"/>
      <c r="H22" s="305"/>
      <c r="I22" s="305"/>
      <c r="J22" s="305"/>
      <c r="K22" s="305"/>
      <c r="L22" s="305"/>
      <c r="M22" s="303"/>
      <c r="N22" s="303"/>
      <c r="O22" s="305"/>
      <c r="P22" s="305"/>
    </row>
    <row r="23" spans="2:16" ht="15.75">
      <c r="B23" s="301"/>
      <c r="C23" s="306" t="s">
        <v>2756</v>
      </c>
      <c r="D23" s="305"/>
      <c r="E23" s="305"/>
      <c r="F23" s="309"/>
      <c r="G23" s="305"/>
      <c r="H23" s="305"/>
      <c r="I23" s="305"/>
      <c r="J23" s="305"/>
      <c r="K23" s="305"/>
      <c r="L23" s="305"/>
      <c r="M23" s="303"/>
      <c r="N23" s="303"/>
      <c r="O23" s="305"/>
      <c r="P23" s="305"/>
    </row>
    <row r="24" spans="2:16" ht="14.45" customHeight="1">
      <c r="B24" s="301"/>
      <c r="C24" s="306" t="s">
        <v>2757</v>
      </c>
      <c r="D24" s="305"/>
      <c r="E24" s="310"/>
      <c r="F24" s="309" t="s">
        <v>2758</v>
      </c>
      <c r="G24" s="311"/>
      <c r="H24" s="312"/>
      <c r="I24" s="313"/>
      <c r="J24" s="313"/>
      <c r="K24" s="314"/>
      <c r="L24" s="314"/>
      <c r="M24" s="315"/>
      <c r="N24" s="315"/>
      <c r="O24" s="314"/>
      <c r="P24" s="305"/>
    </row>
    <row r="25" spans="2:16" ht="14.45" customHeight="1">
      <c r="B25" s="301"/>
      <c r="C25" s="306" t="s">
        <v>2759</v>
      </c>
      <c r="D25" s="305"/>
      <c r="E25" s="311"/>
      <c r="F25" s="309" t="s">
        <v>2760</v>
      </c>
      <c r="G25" s="311"/>
      <c r="H25" s="313"/>
      <c r="I25" s="313"/>
      <c r="J25" s="313"/>
      <c r="K25" s="314"/>
      <c r="L25" s="314"/>
      <c r="M25" s="315"/>
      <c r="N25" s="315"/>
      <c r="O25" s="314"/>
      <c r="P25" s="305"/>
    </row>
    <row r="26" spans="2:16" ht="15.75">
      <c r="B26" s="301"/>
      <c r="C26" s="306" t="s">
        <v>2761</v>
      </c>
      <c r="D26" s="305"/>
      <c r="E26" s="305"/>
      <c r="F26" s="309" t="s">
        <v>2762</v>
      </c>
      <c r="G26" s="305"/>
      <c r="H26" s="305"/>
      <c r="I26" s="305"/>
      <c r="J26" s="305"/>
      <c r="K26" s="305"/>
      <c r="L26" s="305"/>
      <c r="M26" s="303"/>
      <c r="N26" s="303"/>
      <c r="O26" s="305"/>
      <c r="P26" s="305"/>
    </row>
    <row r="27" spans="2:16" ht="15.75">
      <c r="B27" s="301"/>
      <c r="C27" s="306" t="s">
        <v>2763</v>
      </c>
      <c r="D27" s="305"/>
      <c r="E27" s="305"/>
      <c r="F27" s="309"/>
      <c r="G27" s="305"/>
      <c r="H27" s="305"/>
      <c r="I27" s="305"/>
      <c r="J27" s="305"/>
      <c r="K27" s="305"/>
      <c r="L27" s="305"/>
      <c r="M27" s="303"/>
      <c r="N27" s="303"/>
      <c r="O27" s="305"/>
      <c r="P27" s="305"/>
    </row>
    <row r="28" spans="2:16" ht="15.75">
      <c r="B28" s="301"/>
      <c r="C28" s="306" t="s">
        <v>2764</v>
      </c>
      <c r="D28" s="305"/>
      <c r="E28" s="305"/>
      <c r="F28" s="309" t="s">
        <v>2765</v>
      </c>
      <c r="G28" s="305"/>
      <c r="H28" s="305"/>
      <c r="I28" s="305"/>
      <c r="J28" s="305"/>
      <c r="K28" s="305"/>
      <c r="L28" s="305"/>
      <c r="M28" s="303"/>
      <c r="N28" s="303"/>
      <c r="O28" s="305"/>
      <c r="P28" s="305"/>
    </row>
    <row r="29" spans="2:16" ht="15.75">
      <c r="B29" s="301"/>
      <c r="C29" s="306"/>
      <c r="D29" s="305"/>
      <c r="E29" s="305"/>
      <c r="F29" s="305"/>
      <c r="G29" s="305"/>
      <c r="H29" s="305"/>
      <c r="I29" s="305"/>
      <c r="J29" s="305"/>
      <c r="K29" s="305"/>
      <c r="L29" s="305"/>
      <c r="M29" s="303"/>
      <c r="N29" s="303"/>
      <c r="O29" s="305"/>
      <c r="P29" s="305"/>
    </row>
    <row r="30" spans="2:16" ht="15.75">
      <c r="B30" s="301"/>
      <c r="C30" s="306" t="s">
        <v>2766</v>
      </c>
      <c r="D30" s="305"/>
      <c r="E30" s="305"/>
      <c r="F30" s="305"/>
      <c r="G30" s="305"/>
      <c r="H30" s="305"/>
      <c r="I30" s="305"/>
      <c r="J30" s="305"/>
      <c r="K30" s="305"/>
      <c r="L30" s="305"/>
      <c r="M30" s="303"/>
      <c r="N30" s="303"/>
      <c r="O30" s="305"/>
      <c r="P30" s="305"/>
    </row>
    <row r="31" spans="2:16" ht="15.75">
      <c r="B31" s="301"/>
      <c r="C31" s="306" t="s">
        <v>2767</v>
      </c>
      <c r="D31" s="305"/>
      <c r="E31" s="305"/>
      <c r="F31" s="316" t="s">
        <v>2834</v>
      </c>
      <c r="G31" s="305"/>
      <c r="H31" s="305"/>
      <c r="I31" s="305"/>
      <c r="J31" s="305"/>
      <c r="K31" s="305"/>
      <c r="L31" s="305"/>
      <c r="M31" s="303"/>
      <c r="N31" s="303"/>
      <c r="O31" s="305"/>
      <c r="P31" s="305"/>
    </row>
    <row r="32" spans="2:16" ht="15.75">
      <c r="B32" s="301"/>
      <c r="C32" s="306" t="s">
        <v>2768</v>
      </c>
      <c r="D32" s="305"/>
      <c r="E32" s="305"/>
      <c r="F32" s="309" t="s">
        <v>2769</v>
      </c>
      <c r="G32" s="305"/>
      <c r="H32" s="305"/>
      <c r="I32" s="305"/>
      <c r="J32" s="305"/>
      <c r="K32" s="305"/>
      <c r="L32" s="305"/>
      <c r="M32" s="303"/>
      <c r="N32" s="303"/>
      <c r="O32" s="305"/>
      <c r="P32" s="305"/>
    </row>
    <row r="33" spans="2:16" ht="15.75">
      <c r="B33" s="301"/>
      <c r="C33" s="306"/>
      <c r="D33" s="317"/>
      <c r="E33" s="305"/>
      <c r="F33" s="305"/>
      <c r="G33" s="305"/>
      <c r="H33" s="305"/>
      <c r="I33" s="305"/>
      <c r="J33" s="305"/>
      <c r="K33" s="305"/>
      <c r="L33" s="305"/>
      <c r="M33" s="303"/>
      <c r="N33" s="303"/>
      <c r="O33" s="305"/>
      <c r="P33" s="305"/>
    </row>
    <row r="34" spans="2:16" ht="15.6" customHeight="1">
      <c r="B34" s="301"/>
      <c r="C34" s="306" t="s">
        <v>1894</v>
      </c>
      <c r="D34" s="305"/>
      <c r="E34" s="305"/>
      <c r="F34" s="457" t="s">
        <v>2770</v>
      </c>
      <c r="G34" s="457"/>
      <c r="H34" s="457"/>
      <c r="I34" s="457"/>
      <c r="J34" s="457"/>
      <c r="K34" s="457"/>
      <c r="L34" s="457"/>
      <c r="M34" s="458"/>
      <c r="N34" s="303"/>
      <c r="O34" s="305"/>
      <c r="P34" s="305"/>
    </row>
    <row r="35" spans="2:16" ht="15.6" customHeight="1">
      <c r="B35" s="301"/>
      <c r="C35" s="304"/>
      <c r="D35" s="305"/>
      <c r="E35" s="305"/>
      <c r="F35" s="457"/>
      <c r="G35" s="457"/>
      <c r="H35" s="457"/>
      <c r="I35" s="457"/>
      <c r="J35" s="457"/>
      <c r="K35" s="457"/>
      <c r="L35" s="457"/>
      <c r="M35" s="458"/>
      <c r="N35" s="303"/>
      <c r="O35" s="305"/>
      <c r="P35" s="305"/>
    </row>
    <row r="36" spans="2:16" ht="15.6" customHeight="1">
      <c r="B36" s="301"/>
      <c r="C36" s="304"/>
      <c r="D36" s="305"/>
      <c r="E36" s="305"/>
      <c r="F36" s="457"/>
      <c r="G36" s="457"/>
      <c r="H36" s="457"/>
      <c r="I36" s="457"/>
      <c r="J36" s="457"/>
      <c r="K36" s="457"/>
      <c r="L36" s="457"/>
      <c r="M36" s="458"/>
      <c r="N36" s="303"/>
      <c r="O36" s="305"/>
      <c r="P36" s="305"/>
    </row>
    <row r="37" spans="2:16">
      <c r="B37" s="301"/>
      <c r="C37" s="304"/>
      <c r="D37" s="305"/>
      <c r="E37" s="305"/>
      <c r="F37" s="305"/>
      <c r="G37" s="305"/>
      <c r="H37" s="305"/>
      <c r="I37" s="305"/>
      <c r="J37" s="305"/>
      <c r="K37" s="305"/>
      <c r="L37" s="305"/>
      <c r="M37" s="303"/>
      <c r="N37" s="303"/>
      <c r="O37" s="305"/>
      <c r="P37" s="305"/>
    </row>
    <row r="38" spans="2:16" ht="16.5" thickBot="1">
      <c r="B38" s="301"/>
      <c r="C38" s="318" t="s">
        <v>2771</v>
      </c>
      <c r="D38" s="319"/>
      <c r="E38" s="319"/>
      <c r="F38" s="319"/>
      <c r="G38" s="319"/>
      <c r="H38" s="319"/>
      <c r="I38" s="319"/>
      <c r="J38" s="319"/>
      <c r="K38" s="319"/>
      <c r="L38" s="319"/>
      <c r="M38" s="320"/>
      <c r="N38" s="303"/>
      <c r="O38" s="305"/>
      <c r="P38" s="305"/>
    </row>
    <row r="39" spans="2:16" ht="12" customHeight="1" thickBot="1">
      <c r="B39" s="301"/>
      <c r="C39" s="305"/>
      <c r="D39" s="305"/>
      <c r="E39" s="305"/>
      <c r="F39" s="305"/>
      <c r="G39" s="305"/>
      <c r="H39" s="305"/>
      <c r="I39" s="305"/>
      <c r="J39" s="305"/>
      <c r="K39" s="305"/>
      <c r="L39" s="305"/>
      <c r="M39" s="305"/>
      <c r="N39" s="303"/>
      <c r="O39" s="305"/>
      <c r="P39" s="305"/>
    </row>
    <row r="40" spans="2:16" ht="18.75">
      <c r="B40" s="301"/>
      <c r="C40" s="450" t="s">
        <v>2772</v>
      </c>
      <c r="D40" s="299"/>
      <c r="E40" s="299"/>
      <c r="F40" s="299"/>
      <c r="G40" s="299"/>
      <c r="H40" s="299"/>
      <c r="I40" s="299"/>
      <c r="J40" s="299"/>
      <c r="K40" s="299"/>
      <c r="L40" s="299"/>
      <c r="M40" s="300"/>
      <c r="N40" s="303"/>
      <c r="O40" s="305"/>
      <c r="P40" s="305"/>
    </row>
    <row r="41" spans="2:16">
      <c r="B41" s="301"/>
      <c r="C41" s="304" t="s">
        <v>2773</v>
      </c>
      <c r="D41" s="305"/>
      <c r="E41" s="305"/>
      <c r="F41" s="305"/>
      <c r="G41" s="305"/>
      <c r="H41" s="305"/>
      <c r="I41" s="305"/>
      <c r="J41" s="305"/>
      <c r="K41" s="305"/>
      <c r="L41" s="305"/>
      <c r="M41" s="303"/>
      <c r="N41" s="303"/>
      <c r="O41" s="305"/>
      <c r="P41" s="305"/>
    </row>
    <row r="42" spans="2:16" ht="15.75">
      <c r="B42" s="301"/>
      <c r="C42" s="306" t="s">
        <v>2806</v>
      </c>
      <c r="D42" s="305"/>
      <c r="E42" s="305"/>
      <c r="F42" s="305"/>
      <c r="G42" s="305"/>
      <c r="H42" s="305"/>
      <c r="I42" s="305"/>
      <c r="J42" s="305"/>
      <c r="K42" s="305"/>
      <c r="L42" s="305"/>
      <c r="M42" s="453">
        <f>ORCA!H700</f>
        <v>4307814.1250918237</v>
      </c>
      <c r="N42" s="303"/>
      <c r="O42" s="305"/>
      <c r="P42" s="305"/>
    </row>
    <row r="43" spans="2:16" ht="15.75">
      <c r="B43" s="301"/>
      <c r="C43" s="306" t="s">
        <v>2807</v>
      </c>
      <c r="D43" s="305"/>
      <c r="E43" s="305"/>
      <c r="F43" s="305"/>
      <c r="G43" s="305"/>
      <c r="H43" s="305"/>
      <c r="I43" s="305"/>
      <c r="J43" s="305"/>
      <c r="K43" s="305"/>
      <c r="L43" s="305"/>
      <c r="M43" s="454">
        <f>ORCA!H699</f>
        <v>21262656.096208408</v>
      </c>
      <c r="N43" s="303"/>
      <c r="O43" s="305"/>
      <c r="P43" s="305"/>
    </row>
    <row r="44" spans="2:16">
      <c r="B44" s="301" t="s">
        <v>1155</v>
      </c>
      <c r="C44" s="304"/>
      <c r="D44" s="305"/>
      <c r="E44" s="305"/>
      <c r="F44" s="305"/>
      <c r="G44" s="305"/>
      <c r="H44" s="305"/>
      <c r="I44" s="305"/>
      <c r="J44" s="305"/>
      <c r="K44" s="305"/>
      <c r="L44" s="305"/>
      <c r="M44" s="303"/>
      <c r="N44" s="303"/>
      <c r="O44" s="305"/>
      <c r="P44" s="305"/>
    </row>
    <row r="45" spans="2:16" ht="18.75">
      <c r="B45" s="301"/>
      <c r="C45" s="451" t="s">
        <v>2852</v>
      </c>
      <c r="D45" s="305"/>
      <c r="E45" s="305"/>
      <c r="F45" s="305"/>
      <c r="G45" s="305"/>
      <c r="H45" s="305"/>
      <c r="I45" s="305"/>
      <c r="J45" s="305"/>
      <c r="K45" s="305"/>
      <c r="L45" s="305"/>
      <c r="M45" s="452">
        <f>M42+M43</f>
        <v>25570470.221300233</v>
      </c>
      <c r="N45" s="303"/>
      <c r="O45" s="305"/>
      <c r="P45" s="305"/>
    </row>
    <row r="46" spans="2:16" ht="15.75" thickBot="1">
      <c r="B46" s="301"/>
      <c r="C46" s="321"/>
      <c r="D46" s="319"/>
      <c r="E46" s="319"/>
      <c r="F46" s="319"/>
      <c r="G46" s="319"/>
      <c r="H46" s="319"/>
      <c r="I46" s="319"/>
      <c r="J46" s="319"/>
      <c r="K46" s="319"/>
      <c r="L46" s="319"/>
      <c r="M46" s="320"/>
      <c r="N46" s="303"/>
      <c r="O46" s="305"/>
      <c r="P46" s="305"/>
    </row>
    <row r="47" spans="2:16" ht="8.4499999999999993" customHeight="1" thickBot="1">
      <c r="B47" s="301"/>
      <c r="C47" s="322"/>
      <c r="D47" s="305"/>
      <c r="E47" s="305"/>
      <c r="F47" s="305"/>
      <c r="G47" s="305"/>
      <c r="H47" s="305"/>
      <c r="I47" s="305"/>
      <c r="J47" s="305"/>
      <c r="K47" s="305"/>
      <c r="L47" s="305"/>
      <c r="M47" s="305"/>
      <c r="N47" s="303"/>
      <c r="O47" s="305"/>
      <c r="P47" s="305"/>
    </row>
    <row r="48" spans="2:16" ht="15.75">
      <c r="B48" s="301"/>
      <c r="C48" s="306" t="s">
        <v>2774</v>
      </c>
      <c r="D48" s="299"/>
      <c r="E48" s="299"/>
      <c r="F48" s="455" t="s">
        <v>2775</v>
      </c>
      <c r="G48" s="455"/>
      <c r="H48" s="455"/>
      <c r="I48" s="455"/>
      <c r="J48" s="455"/>
      <c r="K48" s="455"/>
      <c r="L48" s="455"/>
      <c r="M48" s="456"/>
      <c r="N48" s="303"/>
      <c r="O48" s="305"/>
      <c r="P48" s="305"/>
    </row>
    <row r="49" spans="2:16">
      <c r="B49" s="301"/>
      <c r="C49" s="304"/>
      <c r="D49" s="305"/>
      <c r="E49" s="305"/>
      <c r="F49" s="457"/>
      <c r="G49" s="457"/>
      <c r="H49" s="457"/>
      <c r="I49" s="457"/>
      <c r="J49" s="457"/>
      <c r="K49" s="457"/>
      <c r="L49" s="457"/>
      <c r="M49" s="458"/>
      <c r="N49" s="303"/>
      <c r="O49" s="305"/>
      <c r="P49" s="305"/>
    </row>
    <row r="50" spans="2:16">
      <c r="B50" s="301"/>
      <c r="C50" s="304"/>
      <c r="D50" s="305"/>
      <c r="E50" s="305"/>
      <c r="F50" s="459" t="s">
        <v>2776</v>
      </c>
      <c r="G50" s="459"/>
      <c r="H50" s="459"/>
      <c r="I50" s="459"/>
      <c r="J50" s="459"/>
      <c r="K50" s="459"/>
      <c r="L50" s="459"/>
      <c r="M50" s="460"/>
      <c r="N50" s="303"/>
      <c r="O50" s="305"/>
      <c r="P50" s="305"/>
    </row>
    <row r="51" spans="2:16">
      <c r="B51" s="301"/>
      <c r="C51" s="304"/>
      <c r="D51" s="305"/>
      <c r="E51" s="305"/>
      <c r="F51" s="459"/>
      <c r="G51" s="459"/>
      <c r="H51" s="459"/>
      <c r="I51" s="459"/>
      <c r="J51" s="459"/>
      <c r="K51" s="459"/>
      <c r="L51" s="459"/>
      <c r="M51" s="460"/>
      <c r="N51" s="303"/>
      <c r="O51" s="305"/>
      <c r="P51" s="305"/>
    </row>
    <row r="52" spans="2:16" ht="15.75" thickBot="1">
      <c r="B52" s="301"/>
      <c r="C52" s="321"/>
      <c r="D52" s="319"/>
      <c r="E52" s="319"/>
      <c r="F52" s="319"/>
      <c r="G52" s="319"/>
      <c r="H52" s="319"/>
      <c r="I52" s="319"/>
      <c r="J52" s="319"/>
      <c r="K52" s="319"/>
      <c r="L52" s="319"/>
      <c r="M52" s="320"/>
      <c r="N52" s="303"/>
      <c r="O52" s="305"/>
      <c r="P52" s="305"/>
    </row>
    <row r="53" spans="2:16" ht="13.9" customHeight="1" thickBot="1">
      <c r="B53" s="323"/>
      <c r="C53" s="319"/>
      <c r="D53" s="319"/>
      <c r="E53" s="319"/>
      <c r="F53" s="319"/>
      <c r="G53" s="319"/>
      <c r="H53" s="319"/>
      <c r="I53" s="319"/>
      <c r="J53" s="319"/>
      <c r="K53" s="319"/>
      <c r="L53" s="319"/>
      <c r="M53" s="319"/>
      <c r="N53" s="320"/>
      <c r="O53" s="305"/>
      <c r="P53" s="305"/>
    </row>
    <row r="54" spans="2:16" s="317" customFormat="1" ht="15" customHeight="1">
      <c r="C54" s="355"/>
      <c r="D54" s="355"/>
      <c r="E54" s="355"/>
      <c r="F54" s="355"/>
      <c r="G54" s="355"/>
      <c r="H54" s="305"/>
      <c r="I54" s="305"/>
      <c r="J54" s="305"/>
      <c r="K54" s="305"/>
      <c r="L54" s="305"/>
      <c r="M54" s="305"/>
      <c r="N54" s="305"/>
      <c r="O54" s="305"/>
      <c r="P54" s="305"/>
    </row>
    <row r="55" spans="2:16" s="317" customFormat="1" ht="15" customHeight="1">
      <c r="C55" s="355"/>
      <c r="D55" s="355"/>
      <c r="E55" s="355"/>
      <c r="F55" s="355"/>
      <c r="G55" s="355"/>
      <c r="H55" s="305"/>
      <c r="I55" s="305"/>
      <c r="J55" s="305"/>
      <c r="K55" s="305"/>
      <c r="L55" s="305"/>
      <c r="M55" s="305"/>
      <c r="N55" s="305"/>
      <c r="O55" s="305"/>
      <c r="P55" s="305"/>
    </row>
    <row r="56" spans="2:16" s="317" customFormat="1" ht="15" customHeight="1">
      <c r="C56" s="356"/>
      <c r="D56" s="356"/>
      <c r="E56" s="356"/>
      <c r="F56" s="356"/>
      <c r="G56" s="356"/>
      <c r="H56" s="356"/>
      <c r="I56" s="356"/>
      <c r="J56" s="305"/>
      <c r="K56" s="305"/>
      <c r="L56" s="305"/>
      <c r="M56" s="305"/>
      <c r="N56" s="305"/>
      <c r="O56" s="305"/>
      <c r="P56" s="305"/>
    </row>
    <row r="57" spans="2:16" s="317" customFormat="1" ht="15" customHeight="1">
      <c r="C57" s="356"/>
      <c r="D57" s="356"/>
      <c r="E57" s="356"/>
      <c r="F57" s="356"/>
      <c r="G57" s="356"/>
      <c r="H57" s="356"/>
      <c r="I57" s="356"/>
      <c r="J57" s="305"/>
      <c r="K57" s="305"/>
      <c r="L57" s="305"/>
      <c r="M57" s="305"/>
      <c r="N57" s="305"/>
      <c r="O57" s="305"/>
      <c r="P57" s="305"/>
    </row>
    <row r="58" spans="2:16" s="317" customFormat="1" ht="15" customHeight="1">
      <c r="C58" s="356"/>
      <c r="D58" s="356"/>
      <c r="E58" s="356"/>
      <c r="F58" s="356"/>
      <c r="G58" s="356"/>
      <c r="H58" s="356"/>
      <c r="I58" s="356"/>
      <c r="J58" s="305"/>
      <c r="K58" s="305"/>
      <c r="L58" s="305"/>
      <c r="M58" s="305"/>
      <c r="N58" s="305"/>
      <c r="O58" s="305"/>
      <c r="P58" s="305"/>
    </row>
    <row r="59" spans="2:16" s="317" customFormat="1" ht="15" customHeight="1">
      <c r="C59" s="356"/>
      <c r="D59" s="356"/>
      <c r="E59" s="356"/>
      <c r="F59" s="356"/>
      <c r="G59" s="356"/>
      <c r="H59" s="356"/>
      <c r="I59" s="356"/>
      <c r="J59" s="305"/>
      <c r="K59" s="305"/>
      <c r="L59" s="305"/>
      <c r="M59" s="305"/>
      <c r="N59" s="305"/>
      <c r="O59" s="305"/>
      <c r="P59" s="305"/>
    </row>
    <row r="60" spans="2:16" s="317" customFormat="1" ht="15" customHeight="1">
      <c r="C60" s="356"/>
      <c r="D60" s="356"/>
      <c r="E60" s="356"/>
      <c r="F60" s="356"/>
      <c r="G60" s="356"/>
      <c r="H60" s="356"/>
      <c r="I60" s="356"/>
      <c r="J60" s="305"/>
      <c r="K60" s="305"/>
      <c r="L60" s="305"/>
      <c r="N60" s="305"/>
      <c r="O60" s="305"/>
      <c r="P60" s="305"/>
    </row>
    <row r="61" spans="2:16" s="317" customFormat="1" ht="15" customHeight="1">
      <c r="C61" s="356"/>
      <c r="D61" s="356"/>
      <c r="E61" s="356"/>
      <c r="F61" s="356"/>
      <c r="G61" s="356"/>
      <c r="H61" s="356"/>
      <c r="I61" s="356"/>
      <c r="J61" s="305"/>
      <c r="K61" s="305"/>
      <c r="L61" s="305"/>
      <c r="M61" s="305"/>
      <c r="N61" s="305"/>
      <c r="O61" s="305"/>
      <c r="P61" s="305"/>
    </row>
    <row r="62" spans="2:16" s="317" customFormat="1" ht="15" customHeight="1">
      <c r="C62" s="305"/>
      <c r="D62" s="305"/>
      <c r="E62" s="305"/>
      <c r="F62" s="305"/>
      <c r="G62" s="357"/>
      <c r="H62" s="357"/>
      <c r="I62" s="357"/>
      <c r="J62" s="357"/>
      <c r="K62" s="357"/>
      <c r="L62" s="357"/>
      <c r="M62" s="357"/>
      <c r="N62" s="305"/>
      <c r="O62" s="305"/>
      <c r="P62" s="305"/>
    </row>
    <row r="63" spans="2:16" s="317" customFormat="1" ht="15" customHeight="1">
      <c r="C63" s="305"/>
      <c r="D63" s="305"/>
      <c r="E63" s="305"/>
      <c r="F63" s="305"/>
      <c r="G63" s="357"/>
      <c r="H63" s="357"/>
      <c r="I63" s="357"/>
      <c r="J63" s="357"/>
      <c r="K63" s="357"/>
      <c r="L63" s="357"/>
      <c r="M63" s="357"/>
      <c r="N63" s="305"/>
      <c r="O63" s="305"/>
      <c r="P63" s="305"/>
    </row>
    <row r="64" spans="2:16" s="317" customFormat="1" ht="15" customHeight="1">
      <c r="C64" s="305"/>
      <c r="D64" s="305"/>
      <c r="E64" s="305"/>
      <c r="F64" s="305"/>
      <c r="G64" s="357"/>
      <c r="H64" s="357"/>
      <c r="I64" s="357"/>
      <c r="J64" s="357"/>
      <c r="K64" s="357"/>
      <c r="L64" s="357"/>
      <c r="M64" s="357"/>
      <c r="N64" s="305"/>
      <c r="O64" s="305"/>
      <c r="P64" s="305"/>
    </row>
    <row r="65" spans="3:16" s="317" customFormat="1" ht="15" customHeight="1">
      <c r="C65" s="305"/>
      <c r="D65" s="305"/>
      <c r="E65" s="305"/>
      <c r="F65" s="305"/>
      <c r="G65" s="357"/>
      <c r="H65" s="357"/>
      <c r="I65" s="357"/>
      <c r="J65" s="357"/>
      <c r="K65" s="357"/>
      <c r="L65" s="357"/>
      <c r="M65" s="357"/>
      <c r="N65" s="305"/>
      <c r="O65" s="305"/>
      <c r="P65" s="305"/>
    </row>
    <row r="66" spans="3:16" s="317" customFormat="1" ht="15" customHeight="1">
      <c r="C66" s="305"/>
      <c r="D66" s="305"/>
      <c r="E66" s="305"/>
      <c r="F66" s="305"/>
      <c r="G66" s="357"/>
      <c r="H66" s="357"/>
      <c r="I66" s="357"/>
      <c r="J66" s="357"/>
      <c r="K66" s="357"/>
      <c r="L66" s="357"/>
      <c r="M66" s="357"/>
      <c r="N66" s="305"/>
      <c r="O66" s="305"/>
      <c r="P66" s="305"/>
    </row>
    <row r="67" spans="3:16" s="317" customFormat="1" ht="15" customHeight="1">
      <c r="C67" s="305"/>
      <c r="D67" s="305"/>
      <c r="E67" s="305"/>
      <c r="F67" s="305"/>
      <c r="G67" s="357"/>
      <c r="H67" s="357"/>
      <c r="I67" s="357"/>
      <c r="J67" s="357"/>
      <c r="K67" s="357"/>
      <c r="L67" s="357"/>
      <c r="M67" s="357"/>
      <c r="N67" s="305"/>
      <c r="O67" s="305"/>
      <c r="P67" s="305"/>
    </row>
    <row r="68" spans="3:16" s="317" customFormat="1" ht="15" customHeight="1">
      <c r="C68" s="305"/>
      <c r="D68" s="305"/>
      <c r="E68" s="305"/>
      <c r="F68" s="305"/>
      <c r="G68" s="357"/>
      <c r="H68" s="357"/>
      <c r="I68" s="357"/>
      <c r="J68" s="357"/>
      <c r="K68" s="357"/>
      <c r="L68" s="357"/>
      <c r="M68" s="357"/>
      <c r="N68" s="305"/>
      <c r="O68" s="305"/>
      <c r="P68" s="305"/>
    </row>
    <row r="69" spans="3:16" s="317" customFormat="1">
      <c r="C69" s="305"/>
      <c r="D69" s="305"/>
      <c r="E69" s="305"/>
      <c r="F69" s="305"/>
      <c r="G69" s="305"/>
      <c r="H69" s="305"/>
      <c r="I69" s="305"/>
      <c r="J69" s="305"/>
      <c r="K69" s="305"/>
      <c r="L69" s="305"/>
      <c r="M69" s="305"/>
      <c r="N69" s="305"/>
      <c r="O69" s="305"/>
      <c r="P69" s="305"/>
    </row>
    <row r="70" spans="3:16" s="317" customFormat="1">
      <c r="C70" s="305"/>
      <c r="D70" s="305"/>
      <c r="E70" s="305"/>
      <c r="F70" s="305"/>
      <c r="G70" s="305"/>
      <c r="H70" s="305"/>
      <c r="I70" s="305"/>
      <c r="J70" s="305"/>
      <c r="K70" s="305"/>
      <c r="L70" s="305"/>
      <c r="M70" s="305"/>
      <c r="N70" s="305"/>
      <c r="O70" s="305"/>
      <c r="P70" s="305"/>
    </row>
    <row r="71" spans="3:16" s="317" customFormat="1">
      <c r="C71" s="305"/>
      <c r="D71" s="305"/>
      <c r="E71" s="305"/>
      <c r="F71" s="305"/>
      <c r="G71" s="305"/>
      <c r="H71" s="305"/>
      <c r="I71" s="305"/>
      <c r="J71" s="305"/>
      <c r="K71" s="305"/>
      <c r="L71" s="305"/>
      <c r="M71" s="305"/>
      <c r="N71" s="305"/>
      <c r="O71" s="305"/>
      <c r="P71" s="305"/>
    </row>
    <row r="72" spans="3:16" s="317" customFormat="1">
      <c r="C72" s="305"/>
      <c r="D72" s="305"/>
      <c r="E72" s="305"/>
      <c r="F72" s="305"/>
      <c r="G72" s="305"/>
      <c r="H72" s="305"/>
      <c r="I72" s="305"/>
      <c r="J72" s="305"/>
      <c r="K72" s="305"/>
      <c r="L72" s="305"/>
      <c r="M72" s="305"/>
      <c r="N72" s="305"/>
      <c r="O72" s="305"/>
      <c r="P72" s="305"/>
    </row>
    <row r="73" spans="3:16" s="317" customFormat="1">
      <c r="C73" s="305"/>
      <c r="D73" s="305"/>
      <c r="E73" s="305"/>
      <c r="F73" s="305"/>
      <c r="G73" s="305"/>
      <c r="H73" s="305"/>
      <c r="I73" s="305"/>
      <c r="J73" s="305"/>
      <c r="K73" s="305"/>
      <c r="L73" s="305"/>
      <c r="M73" s="305"/>
      <c r="N73" s="305"/>
      <c r="O73" s="305"/>
      <c r="P73" s="305"/>
    </row>
    <row r="74" spans="3:16" s="317" customFormat="1">
      <c r="C74" s="305"/>
      <c r="D74" s="305"/>
      <c r="E74" s="305"/>
      <c r="F74" s="305"/>
      <c r="G74" s="305"/>
      <c r="H74" s="305"/>
      <c r="I74" s="305"/>
      <c r="J74" s="305"/>
      <c r="K74" s="305"/>
      <c r="L74" s="305"/>
      <c r="M74" s="305"/>
      <c r="N74" s="305"/>
      <c r="O74" s="305"/>
      <c r="P74" s="305"/>
    </row>
    <row r="75" spans="3:16" s="317" customFormat="1">
      <c r="C75" s="305"/>
      <c r="D75" s="305"/>
      <c r="E75" s="305"/>
      <c r="F75" s="305"/>
      <c r="G75" s="305"/>
      <c r="H75" s="305"/>
      <c r="I75" s="305"/>
      <c r="J75" s="305"/>
      <c r="K75" s="305"/>
      <c r="L75" s="305"/>
      <c r="M75" s="305"/>
      <c r="N75" s="305"/>
      <c r="O75" s="305"/>
      <c r="P75" s="305"/>
    </row>
    <row r="76" spans="3:16" s="317" customFormat="1">
      <c r="C76" s="305"/>
      <c r="D76" s="305"/>
      <c r="E76" s="305"/>
      <c r="F76" s="305"/>
      <c r="G76" s="305"/>
      <c r="H76" s="305"/>
      <c r="I76" s="305"/>
      <c r="J76" s="305"/>
      <c r="K76" s="305"/>
      <c r="L76" s="305"/>
      <c r="M76" s="305"/>
      <c r="N76" s="305"/>
      <c r="O76" s="305"/>
      <c r="P76" s="305"/>
    </row>
    <row r="77" spans="3:16" s="317" customFormat="1">
      <c r="C77" s="305"/>
      <c r="D77" s="305"/>
      <c r="E77" s="305"/>
      <c r="F77" s="305"/>
      <c r="G77" s="305"/>
      <c r="H77" s="305"/>
      <c r="I77" s="305"/>
      <c r="J77" s="305"/>
      <c r="K77" s="305"/>
      <c r="L77" s="305"/>
      <c r="M77" s="305"/>
      <c r="N77" s="305"/>
      <c r="O77" s="305"/>
      <c r="P77" s="305"/>
    </row>
    <row r="78" spans="3:16" s="317" customFormat="1">
      <c r="C78" s="305"/>
      <c r="D78" s="305"/>
      <c r="E78" s="305"/>
      <c r="F78" s="305"/>
      <c r="G78" s="305"/>
      <c r="H78" s="305"/>
      <c r="I78" s="305"/>
      <c r="J78" s="305"/>
      <c r="K78" s="305"/>
      <c r="L78" s="305"/>
      <c r="M78" s="305"/>
      <c r="N78" s="305"/>
      <c r="O78" s="305"/>
      <c r="P78" s="305"/>
    </row>
    <row r="79" spans="3:16" s="317" customFormat="1">
      <c r="C79" s="305"/>
      <c r="D79" s="305"/>
      <c r="E79" s="305"/>
      <c r="F79" s="305"/>
      <c r="G79" s="305"/>
      <c r="H79" s="305"/>
      <c r="I79" s="305"/>
      <c r="J79" s="305"/>
      <c r="K79" s="305"/>
      <c r="L79" s="305"/>
      <c r="M79" s="305"/>
      <c r="N79" s="305"/>
      <c r="O79" s="305"/>
      <c r="P79" s="305"/>
    </row>
    <row r="80" spans="3:16" s="317" customFormat="1">
      <c r="C80" s="305"/>
      <c r="D80" s="305"/>
      <c r="E80" s="305"/>
      <c r="F80" s="305"/>
      <c r="G80" s="305"/>
      <c r="H80" s="305"/>
      <c r="I80" s="305"/>
      <c r="J80" s="305"/>
      <c r="K80" s="305"/>
      <c r="L80" s="305"/>
      <c r="M80" s="305"/>
      <c r="N80" s="305"/>
      <c r="O80" s="305"/>
      <c r="P80" s="305"/>
    </row>
    <row r="81" spans="3:16" s="317" customFormat="1">
      <c r="C81" s="305"/>
      <c r="D81" s="305"/>
      <c r="E81" s="305"/>
      <c r="F81" s="305"/>
      <c r="G81" s="305"/>
      <c r="H81" s="305"/>
      <c r="I81" s="305"/>
      <c r="J81" s="305"/>
      <c r="K81" s="305"/>
      <c r="L81" s="305"/>
      <c r="M81" s="305"/>
      <c r="N81" s="305"/>
      <c r="O81" s="305"/>
      <c r="P81" s="305"/>
    </row>
    <row r="82" spans="3:16" s="317" customFormat="1">
      <c r="C82" s="305"/>
      <c r="D82" s="305"/>
      <c r="E82" s="305"/>
      <c r="F82" s="305"/>
      <c r="G82" s="305"/>
      <c r="H82" s="305"/>
      <c r="I82" s="305"/>
      <c r="J82" s="305"/>
      <c r="K82" s="305"/>
      <c r="L82" s="305"/>
      <c r="M82" s="305"/>
      <c r="N82" s="305"/>
      <c r="O82" s="305"/>
      <c r="P82" s="305"/>
    </row>
    <row r="83" spans="3:16" s="317" customFormat="1">
      <c r="C83" s="305"/>
      <c r="D83" s="305"/>
      <c r="E83" s="305"/>
      <c r="F83" s="305"/>
      <c r="G83" s="305"/>
      <c r="H83" s="305"/>
      <c r="I83" s="305"/>
      <c r="J83" s="305"/>
      <c r="K83" s="305"/>
      <c r="L83" s="305"/>
      <c r="M83" s="305"/>
      <c r="N83" s="305"/>
      <c r="O83" s="305"/>
      <c r="P83" s="305"/>
    </row>
    <row r="84" spans="3:16" s="317" customFormat="1">
      <c r="C84" s="305"/>
      <c r="D84" s="305"/>
      <c r="E84" s="305"/>
      <c r="F84" s="305"/>
      <c r="G84" s="305"/>
      <c r="H84" s="305"/>
      <c r="I84" s="305"/>
      <c r="J84" s="305"/>
      <c r="K84" s="305"/>
      <c r="L84" s="305"/>
      <c r="M84" s="305"/>
      <c r="N84" s="305"/>
      <c r="O84" s="305"/>
      <c r="P84" s="305"/>
    </row>
    <row r="85" spans="3:16" s="317" customFormat="1">
      <c r="C85" s="305"/>
      <c r="D85" s="305"/>
      <c r="E85" s="305"/>
      <c r="F85" s="305"/>
      <c r="G85" s="305"/>
      <c r="H85" s="305"/>
      <c r="I85" s="305"/>
      <c r="J85" s="305"/>
      <c r="K85" s="305"/>
      <c r="L85" s="305"/>
      <c r="M85" s="305"/>
      <c r="N85" s="305"/>
      <c r="O85" s="305"/>
      <c r="P85" s="305"/>
    </row>
    <row r="86" spans="3:16" s="317" customFormat="1">
      <c r="C86" s="305"/>
      <c r="D86" s="305"/>
      <c r="E86" s="305"/>
      <c r="F86" s="305"/>
      <c r="G86" s="305"/>
      <c r="H86" s="305"/>
      <c r="I86" s="305"/>
      <c r="J86" s="305"/>
      <c r="K86" s="305"/>
      <c r="L86" s="305"/>
      <c r="M86" s="305"/>
      <c r="N86" s="305"/>
      <c r="O86" s="305"/>
      <c r="P86" s="305"/>
    </row>
    <row r="87" spans="3:16" s="317" customFormat="1">
      <c r="C87" s="305"/>
      <c r="D87" s="305"/>
      <c r="E87" s="305"/>
      <c r="F87" s="305"/>
      <c r="G87" s="305"/>
      <c r="H87" s="305"/>
      <c r="I87" s="305"/>
      <c r="J87" s="305"/>
      <c r="K87" s="305"/>
      <c r="L87" s="305"/>
      <c r="M87" s="305"/>
      <c r="N87" s="305"/>
      <c r="O87" s="305"/>
      <c r="P87" s="305"/>
    </row>
    <row r="88" spans="3:16" s="317" customFormat="1">
      <c r="C88" s="305"/>
      <c r="D88" s="305"/>
      <c r="E88" s="305"/>
      <c r="F88" s="305"/>
      <c r="G88" s="305"/>
      <c r="H88" s="305"/>
      <c r="I88" s="305"/>
      <c r="J88" s="305"/>
      <c r="K88" s="305"/>
      <c r="L88" s="305"/>
      <c r="M88" s="305"/>
      <c r="N88" s="305"/>
      <c r="O88" s="305"/>
      <c r="P88" s="305"/>
    </row>
    <row r="89" spans="3:16" s="317" customFormat="1">
      <c r="C89" s="305"/>
      <c r="D89" s="305"/>
      <c r="E89" s="305"/>
      <c r="F89" s="305"/>
      <c r="G89" s="305"/>
      <c r="H89" s="305"/>
      <c r="I89" s="305"/>
      <c r="J89" s="305"/>
      <c r="K89" s="305"/>
      <c r="L89" s="305"/>
      <c r="M89" s="305"/>
      <c r="N89" s="305"/>
      <c r="O89" s="305"/>
      <c r="P89" s="305"/>
    </row>
    <row r="90" spans="3:16" s="317" customFormat="1">
      <c r="C90" s="305"/>
      <c r="D90" s="305"/>
      <c r="E90" s="305"/>
      <c r="F90" s="305"/>
      <c r="G90" s="305"/>
      <c r="H90" s="305"/>
      <c r="I90" s="305"/>
      <c r="J90" s="305"/>
      <c r="K90" s="305"/>
      <c r="L90" s="305"/>
      <c r="M90" s="305"/>
      <c r="N90" s="305"/>
      <c r="O90" s="305"/>
      <c r="P90" s="305"/>
    </row>
    <row r="91" spans="3:16" s="317" customFormat="1">
      <c r="C91" s="305"/>
      <c r="D91" s="305"/>
      <c r="E91" s="305"/>
      <c r="F91" s="305"/>
      <c r="G91" s="305"/>
      <c r="H91" s="305"/>
      <c r="I91" s="305"/>
      <c r="J91" s="305"/>
      <c r="K91" s="305"/>
      <c r="L91" s="305"/>
      <c r="M91" s="305"/>
      <c r="N91" s="305"/>
      <c r="O91" s="305"/>
      <c r="P91" s="305"/>
    </row>
    <row r="92" spans="3:16" s="317" customFormat="1">
      <c r="C92" s="305"/>
      <c r="D92" s="305"/>
      <c r="E92" s="305"/>
      <c r="F92" s="305"/>
      <c r="G92" s="305"/>
      <c r="H92" s="305"/>
      <c r="I92" s="305"/>
      <c r="J92" s="305"/>
      <c r="K92" s="305"/>
      <c r="L92" s="305"/>
      <c r="M92" s="305"/>
      <c r="N92" s="305"/>
      <c r="O92" s="305"/>
      <c r="P92" s="305"/>
    </row>
    <row r="93" spans="3:16" s="317" customFormat="1">
      <c r="C93" s="305"/>
      <c r="D93" s="305"/>
      <c r="E93" s="305"/>
      <c r="F93" s="305"/>
      <c r="G93" s="305"/>
      <c r="H93" s="305"/>
      <c r="I93" s="305"/>
      <c r="J93" s="305"/>
      <c r="K93" s="305"/>
      <c r="L93" s="305"/>
      <c r="M93" s="305"/>
      <c r="N93" s="305"/>
      <c r="O93" s="305"/>
      <c r="P93" s="305"/>
    </row>
    <row r="94" spans="3:16" s="317" customFormat="1">
      <c r="C94" s="305"/>
      <c r="D94" s="305"/>
      <c r="E94" s="305"/>
      <c r="F94" s="305"/>
      <c r="G94" s="305"/>
      <c r="H94" s="305"/>
      <c r="I94" s="305"/>
      <c r="J94" s="305"/>
      <c r="K94" s="305"/>
      <c r="L94" s="305"/>
      <c r="M94" s="305"/>
      <c r="N94" s="305"/>
      <c r="O94" s="305"/>
      <c r="P94" s="305"/>
    </row>
    <row r="95" spans="3:16" s="317" customFormat="1">
      <c r="C95" s="305"/>
      <c r="D95" s="305"/>
      <c r="E95" s="305"/>
      <c r="F95" s="305"/>
      <c r="G95" s="305"/>
      <c r="H95" s="305"/>
      <c r="I95" s="305"/>
      <c r="J95" s="305"/>
      <c r="K95" s="305"/>
      <c r="L95" s="305"/>
      <c r="M95" s="305"/>
      <c r="N95" s="305"/>
      <c r="O95" s="305"/>
      <c r="P95" s="305"/>
    </row>
    <row r="96" spans="3:16" s="317" customFormat="1">
      <c r="C96" s="305"/>
      <c r="D96" s="305"/>
      <c r="E96" s="305"/>
      <c r="F96" s="305"/>
      <c r="G96" s="305"/>
      <c r="H96" s="305"/>
      <c r="I96" s="305"/>
      <c r="J96" s="305"/>
      <c r="K96" s="305"/>
      <c r="L96" s="305"/>
      <c r="M96" s="305"/>
      <c r="N96" s="305"/>
      <c r="O96" s="305"/>
      <c r="P96" s="305"/>
    </row>
    <row r="97" spans="3:16" s="317" customFormat="1">
      <c r="C97" s="305"/>
      <c r="D97" s="305"/>
      <c r="E97" s="305"/>
      <c r="F97" s="305"/>
      <c r="G97" s="305"/>
      <c r="H97" s="305"/>
      <c r="I97" s="305"/>
      <c r="J97" s="305"/>
      <c r="K97" s="305"/>
      <c r="L97" s="305"/>
      <c r="M97" s="305"/>
      <c r="N97" s="305"/>
      <c r="O97" s="305"/>
      <c r="P97" s="305"/>
    </row>
    <row r="98" spans="3:16" s="317" customFormat="1">
      <c r="C98" s="305"/>
      <c r="D98" s="305"/>
      <c r="E98" s="305"/>
      <c r="F98" s="305"/>
      <c r="G98" s="305"/>
      <c r="H98" s="305"/>
      <c r="I98" s="305"/>
      <c r="J98" s="305"/>
      <c r="K98" s="305"/>
      <c r="L98" s="305"/>
      <c r="M98" s="305"/>
      <c r="N98" s="305"/>
      <c r="O98" s="305"/>
      <c r="P98" s="305"/>
    </row>
    <row r="99" spans="3:16" s="317" customFormat="1">
      <c r="C99" s="305"/>
      <c r="D99" s="305"/>
      <c r="E99" s="305"/>
      <c r="F99" s="305"/>
      <c r="G99" s="305"/>
      <c r="H99" s="305"/>
      <c r="I99" s="305"/>
      <c r="J99" s="305"/>
      <c r="K99" s="305"/>
      <c r="L99" s="305"/>
      <c r="M99" s="305"/>
      <c r="N99" s="305"/>
      <c r="O99" s="305"/>
      <c r="P99" s="305"/>
    </row>
    <row r="100" spans="3:16" s="317" customFormat="1">
      <c r="C100" s="305"/>
      <c r="D100" s="305"/>
      <c r="E100" s="305"/>
      <c r="F100" s="305"/>
      <c r="G100" s="305"/>
      <c r="H100" s="305"/>
      <c r="I100" s="305"/>
      <c r="J100" s="305"/>
      <c r="K100" s="305"/>
      <c r="L100" s="305"/>
      <c r="M100" s="305"/>
      <c r="N100" s="305"/>
      <c r="O100" s="305"/>
      <c r="P100" s="305"/>
    </row>
    <row r="101" spans="3:16" s="317" customFormat="1">
      <c r="C101" s="305"/>
      <c r="D101" s="305"/>
      <c r="E101" s="305"/>
      <c r="F101" s="305"/>
      <c r="G101" s="305"/>
      <c r="H101" s="305"/>
      <c r="I101" s="305"/>
      <c r="J101" s="305"/>
      <c r="K101" s="305"/>
      <c r="L101" s="305"/>
      <c r="M101" s="305"/>
      <c r="N101" s="305"/>
      <c r="O101" s="305"/>
      <c r="P101" s="305"/>
    </row>
    <row r="102" spans="3:16" s="317" customFormat="1">
      <c r="C102" s="305"/>
      <c r="D102" s="305"/>
      <c r="E102" s="305"/>
      <c r="F102" s="305"/>
      <c r="G102" s="305"/>
      <c r="H102" s="305"/>
      <c r="I102" s="305"/>
      <c r="J102" s="305"/>
      <c r="K102" s="305"/>
      <c r="L102" s="305"/>
      <c r="M102" s="305"/>
      <c r="N102" s="305"/>
      <c r="O102" s="305"/>
      <c r="P102" s="305"/>
    </row>
    <row r="103" spans="3:16" s="317" customFormat="1">
      <c r="C103" s="305"/>
      <c r="D103" s="305"/>
      <c r="E103" s="305"/>
      <c r="F103" s="305"/>
      <c r="G103" s="305"/>
      <c r="H103" s="305"/>
      <c r="I103" s="305"/>
      <c r="J103" s="305"/>
      <c r="K103" s="305"/>
      <c r="L103" s="305"/>
      <c r="M103" s="305"/>
      <c r="N103" s="305"/>
      <c r="O103" s="305"/>
      <c r="P103" s="305"/>
    </row>
    <row r="104" spans="3:16" s="317" customFormat="1">
      <c r="C104" s="305"/>
      <c r="D104" s="305"/>
      <c r="E104" s="305"/>
      <c r="F104" s="305"/>
      <c r="G104" s="305"/>
      <c r="H104" s="305"/>
      <c r="I104" s="305"/>
      <c r="J104" s="305"/>
      <c r="K104" s="305"/>
      <c r="L104" s="305"/>
      <c r="M104" s="305"/>
      <c r="N104" s="305"/>
      <c r="O104" s="305"/>
      <c r="P104" s="305"/>
    </row>
    <row r="105" spans="3:16" s="317" customFormat="1">
      <c r="C105" s="305"/>
      <c r="D105" s="305"/>
      <c r="E105" s="305"/>
      <c r="F105" s="305"/>
      <c r="G105" s="305"/>
      <c r="H105" s="305"/>
      <c r="I105" s="305"/>
      <c r="J105" s="305"/>
      <c r="K105" s="305"/>
      <c r="L105" s="305"/>
      <c r="M105" s="305"/>
      <c r="N105" s="305"/>
      <c r="O105" s="305"/>
      <c r="P105" s="305"/>
    </row>
    <row r="106" spans="3:16" s="317" customFormat="1">
      <c r="C106" s="305"/>
      <c r="D106" s="305"/>
      <c r="E106" s="305"/>
      <c r="F106" s="305"/>
      <c r="G106" s="305"/>
      <c r="H106" s="305"/>
      <c r="I106" s="305"/>
      <c r="J106" s="305"/>
      <c r="K106" s="305"/>
      <c r="L106" s="305"/>
      <c r="M106" s="305"/>
      <c r="N106" s="305"/>
      <c r="O106" s="305"/>
      <c r="P106" s="305"/>
    </row>
    <row r="107" spans="3:16" s="317" customFormat="1">
      <c r="C107" s="305"/>
      <c r="D107" s="305"/>
      <c r="E107" s="305"/>
      <c r="F107" s="305"/>
      <c r="G107" s="305"/>
      <c r="H107" s="305"/>
      <c r="I107" s="305"/>
      <c r="J107" s="305"/>
      <c r="K107" s="305"/>
      <c r="L107" s="305"/>
      <c r="M107" s="305"/>
      <c r="N107" s="305"/>
      <c r="O107" s="305"/>
      <c r="P107" s="305"/>
    </row>
    <row r="108" spans="3:16" s="317" customFormat="1">
      <c r="C108" s="305"/>
      <c r="D108" s="305"/>
      <c r="E108" s="305"/>
      <c r="F108" s="305"/>
      <c r="G108" s="305"/>
      <c r="H108" s="305"/>
      <c r="I108" s="305"/>
      <c r="J108" s="305"/>
      <c r="K108" s="305"/>
      <c r="L108" s="305"/>
      <c r="M108" s="305"/>
      <c r="N108" s="305"/>
      <c r="O108" s="305"/>
      <c r="P108" s="305"/>
    </row>
    <row r="109" spans="3:16" s="317" customFormat="1">
      <c r="C109" s="305"/>
      <c r="D109" s="305"/>
      <c r="E109" s="305"/>
      <c r="F109" s="305"/>
      <c r="G109" s="305"/>
      <c r="H109" s="305"/>
      <c r="I109" s="305"/>
      <c r="J109" s="305"/>
      <c r="K109" s="305"/>
      <c r="L109" s="305"/>
      <c r="M109" s="305"/>
      <c r="N109" s="305"/>
      <c r="O109" s="305"/>
      <c r="P109" s="305"/>
    </row>
    <row r="110" spans="3:16" s="317" customFormat="1">
      <c r="C110" s="305"/>
      <c r="D110" s="305"/>
      <c r="E110" s="305"/>
      <c r="F110" s="305"/>
      <c r="G110" s="305"/>
      <c r="H110" s="305"/>
      <c r="I110" s="305"/>
      <c r="J110" s="305"/>
      <c r="K110" s="305"/>
      <c r="L110" s="305"/>
      <c r="M110" s="305"/>
      <c r="N110" s="305"/>
      <c r="O110" s="305"/>
      <c r="P110" s="305"/>
    </row>
    <row r="111" spans="3:16" s="317" customFormat="1">
      <c r="C111" s="305"/>
      <c r="D111" s="305"/>
      <c r="E111" s="305"/>
      <c r="F111" s="305"/>
      <c r="G111" s="305"/>
      <c r="H111" s="305"/>
      <c r="I111" s="305"/>
      <c r="J111" s="305"/>
      <c r="K111" s="305"/>
      <c r="L111" s="305"/>
      <c r="M111" s="305"/>
      <c r="N111" s="305"/>
      <c r="O111" s="305"/>
      <c r="P111" s="305"/>
    </row>
    <row r="112" spans="3:16" s="317" customFormat="1">
      <c r="C112" s="305"/>
      <c r="D112" s="305"/>
      <c r="E112" s="305"/>
      <c r="F112" s="305"/>
      <c r="G112" s="305"/>
      <c r="H112" s="305"/>
      <c r="I112" s="305"/>
      <c r="J112" s="305"/>
      <c r="K112" s="305"/>
      <c r="L112" s="305"/>
      <c r="M112" s="305"/>
      <c r="N112" s="305"/>
      <c r="O112" s="305"/>
      <c r="P112" s="305"/>
    </row>
    <row r="113" spans="3:16" s="317" customFormat="1">
      <c r="C113" s="305"/>
      <c r="D113" s="305"/>
      <c r="E113" s="305"/>
      <c r="F113" s="305"/>
      <c r="G113" s="305"/>
      <c r="H113" s="305"/>
      <c r="I113" s="305"/>
      <c r="J113" s="305"/>
      <c r="K113" s="305"/>
      <c r="L113" s="305"/>
      <c r="M113" s="305"/>
      <c r="N113" s="305"/>
      <c r="O113" s="305"/>
      <c r="P113" s="305"/>
    </row>
    <row r="114" spans="3:16" s="317" customFormat="1">
      <c r="C114" s="305"/>
      <c r="D114" s="305"/>
      <c r="E114" s="305"/>
      <c r="F114" s="305"/>
      <c r="G114" s="305"/>
      <c r="H114" s="305"/>
      <c r="I114" s="305"/>
      <c r="J114" s="305"/>
      <c r="K114" s="305"/>
      <c r="L114" s="305"/>
      <c r="M114" s="305"/>
      <c r="N114" s="305"/>
      <c r="O114" s="305"/>
      <c r="P114" s="305"/>
    </row>
    <row r="115" spans="3:16" s="317" customFormat="1">
      <c r="C115" s="305"/>
      <c r="D115" s="305"/>
      <c r="E115" s="305"/>
      <c r="F115" s="305"/>
      <c r="G115" s="305"/>
      <c r="H115" s="305"/>
      <c r="I115" s="305"/>
      <c r="J115" s="305"/>
      <c r="K115" s="305"/>
      <c r="L115" s="305"/>
      <c r="M115" s="305"/>
      <c r="N115" s="305"/>
      <c r="O115" s="305"/>
      <c r="P115" s="305"/>
    </row>
    <row r="116" spans="3:16" s="317" customFormat="1">
      <c r="C116" s="305"/>
      <c r="D116" s="305"/>
      <c r="E116" s="305"/>
      <c r="F116" s="305"/>
      <c r="G116" s="305"/>
      <c r="H116" s="305"/>
      <c r="I116" s="305"/>
      <c r="J116" s="305"/>
      <c r="K116" s="305"/>
      <c r="L116" s="305"/>
      <c r="M116" s="305"/>
      <c r="N116" s="305"/>
      <c r="O116" s="305"/>
      <c r="P116" s="305"/>
    </row>
    <row r="117" spans="3:16" s="317" customFormat="1">
      <c r="C117" s="305"/>
      <c r="D117" s="305"/>
      <c r="E117" s="305"/>
      <c r="F117" s="305"/>
      <c r="G117" s="305"/>
      <c r="H117" s="305"/>
      <c r="I117" s="305"/>
      <c r="J117" s="305"/>
      <c r="K117" s="305"/>
      <c r="L117" s="305"/>
      <c r="M117" s="305"/>
      <c r="N117" s="305"/>
      <c r="O117" s="305"/>
      <c r="P117" s="305"/>
    </row>
    <row r="118" spans="3:16" s="317" customFormat="1">
      <c r="C118" s="305"/>
      <c r="D118" s="305"/>
      <c r="E118" s="305"/>
      <c r="F118" s="305"/>
      <c r="G118" s="305"/>
      <c r="H118" s="305"/>
      <c r="I118" s="305"/>
      <c r="J118" s="305"/>
      <c r="K118" s="305"/>
      <c r="L118" s="305"/>
      <c r="M118" s="305"/>
      <c r="N118" s="305"/>
      <c r="O118" s="305"/>
      <c r="P118" s="305"/>
    </row>
    <row r="119" spans="3:16" s="317" customFormat="1">
      <c r="C119" s="305"/>
      <c r="D119" s="305"/>
      <c r="E119" s="305"/>
      <c r="F119" s="305"/>
      <c r="G119" s="305"/>
      <c r="H119" s="305"/>
      <c r="I119" s="305"/>
      <c r="J119" s="305"/>
      <c r="K119" s="305"/>
      <c r="L119" s="305"/>
      <c r="M119" s="305"/>
      <c r="N119" s="305"/>
      <c r="O119" s="305"/>
      <c r="P119" s="305"/>
    </row>
    <row r="120" spans="3:16" s="317" customFormat="1">
      <c r="C120" s="305"/>
      <c r="D120" s="305"/>
      <c r="E120" s="305"/>
      <c r="F120" s="305"/>
      <c r="G120" s="305"/>
      <c r="H120" s="305"/>
      <c r="I120" s="305"/>
      <c r="J120" s="305"/>
      <c r="K120" s="305"/>
      <c r="L120" s="305"/>
      <c r="M120" s="305"/>
      <c r="N120" s="305"/>
      <c r="O120" s="305"/>
      <c r="P120" s="305"/>
    </row>
    <row r="121" spans="3:16" s="317" customFormat="1">
      <c r="C121" s="305"/>
      <c r="D121" s="305"/>
      <c r="E121" s="305"/>
      <c r="F121" s="305"/>
      <c r="G121" s="305"/>
      <c r="H121" s="305"/>
      <c r="I121" s="305"/>
      <c r="J121" s="305"/>
      <c r="K121" s="305"/>
      <c r="L121" s="305"/>
      <c r="M121" s="305"/>
      <c r="N121" s="305"/>
      <c r="O121" s="305"/>
      <c r="P121" s="305"/>
    </row>
    <row r="122" spans="3:16" s="317" customFormat="1">
      <c r="C122" s="305"/>
      <c r="D122" s="305"/>
      <c r="E122" s="305"/>
      <c r="F122" s="305"/>
      <c r="G122" s="305"/>
      <c r="H122" s="305"/>
      <c r="I122" s="305"/>
      <c r="J122" s="305"/>
      <c r="K122" s="305"/>
      <c r="L122" s="305"/>
      <c r="M122" s="305"/>
      <c r="N122" s="305"/>
      <c r="O122" s="305"/>
      <c r="P122" s="305"/>
    </row>
    <row r="123" spans="3:16" s="317" customFormat="1">
      <c r="C123" s="305"/>
      <c r="D123" s="305"/>
      <c r="E123" s="305"/>
      <c r="F123" s="305"/>
      <c r="G123" s="305"/>
      <c r="H123" s="305"/>
      <c r="I123" s="305"/>
      <c r="J123" s="305"/>
      <c r="K123" s="305"/>
      <c r="L123" s="305"/>
      <c r="M123" s="305"/>
      <c r="N123" s="305"/>
      <c r="O123" s="305"/>
      <c r="P123" s="305"/>
    </row>
    <row r="124" spans="3:16" s="317" customFormat="1">
      <c r="C124" s="305"/>
      <c r="D124" s="305"/>
      <c r="E124" s="305"/>
      <c r="F124" s="305"/>
      <c r="G124" s="305"/>
      <c r="H124" s="305"/>
      <c r="I124" s="305"/>
      <c r="J124" s="305"/>
      <c r="K124" s="305"/>
      <c r="L124" s="305"/>
      <c r="M124" s="305"/>
      <c r="N124" s="305"/>
      <c r="O124" s="305"/>
      <c r="P124" s="305"/>
    </row>
    <row r="125" spans="3:16" s="317" customFormat="1">
      <c r="C125" s="305"/>
      <c r="D125" s="305"/>
      <c r="E125" s="305"/>
      <c r="F125" s="305"/>
      <c r="G125" s="305"/>
      <c r="H125" s="305"/>
      <c r="I125" s="305"/>
      <c r="J125" s="305"/>
      <c r="K125" s="305"/>
      <c r="L125" s="305"/>
      <c r="M125" s="305"/>
      <c r="N125" s="305"/>
      <c r="O125" s="305"/>
      <c r="P125" s="305"/>
    </row>
    <row r="126" spans="3:16" s="317" customFormat="1">
      <c r="C126" s="305"/>
      <c r="D126" s="305"/>
      <c r="E126" s="305"/>
      <c r="F126" s="305"/>
      <c r="G126" s="305"/>
      <c r="H126" s="305"/>
      <c r="I126" s="305"/>
      <c r="J126" s="305"/>
      <c r="K126" s="305"/>
      <c r="L126" s="305"/>
      <c r="M126" s="305"/>
      <c r="N126" s="305"/>
      <c r="O126" s="305"/>
      <c r="P126" s="305"/>
    </row>
    <row r="127" spans="3:16" s="317" customFormat="1">
      <c r="C127" s="305"/>
      <c r="D127" s="305"/>
      <c r="E127" s="305"/>
      <c r="F127" s="305"/>
      <c r="G127" s="305"/>
      <c r="H127" s="305"/>
      <c r="I127" s="305"/>
      <c r="J127" s="305"/>
      <c r="K127" s="305"/>
      <c r="L127" s="305"/>
      <c r="M127" s="305"/>
      <c r="N127" s="305"/>
      <c r="O127" s="305"/>
      <c r="P127" s="305"/>
    </row>
    <row r="128" spans="3:16" s="317" customFormat="1">
      <c r="C128" s="305"/>
      <c r="D128" s="305"/>
      <c r="E128" s="305"/>
      <c r="F128" s="305"/>
      <c r="G128" s="305"/>
      <c r="H128" s="305"/>
      <c r="I128" s="305"/>
      <c r="J128" s="305"/>
      <c r="K128" s="305"/>
      <c r="L128" s="305"/>
      <c r="M128" s="305"/>
      <c r="N128" s="305"/>
      <c r="O128" s="305"/>
      <c r="P128" s="305"/>
    </row>
    <row r="129" spans="3:16" s="317" customFormat="1">
      <c r="C129" s="305"/>
      <c r="D129" s="305"/>
      <c r="E129" s="305"/>
      <c r="F129" s="305"/>
      <c r="G129" s="305"/>
      <c r="H129" s="305"/>
      <c r="I129" s="305"/>
      <c r="J129" s="305"/>
      <c r="K129" s="305"/>
      <c r="L129" s="305"/>
      <c r="M129" s="305"/>
      <c r="N129" s="305"/>
      <c r="O129" s="305"/>
      <c r="P129" s="305"/>
    </row>
    <row r="130" spans="3:16" s="317" customFormat="1">
      <c r="C130" s="305"/>
      <c r="D130" s="305"/>
      <c r="E130" s="305"/>
      <c r="F130" s="305"/>
      <c r="G130" s="305"/>
      <c r="H130" s="305"/>
      <c r="I130" s="305"/>
      <c r="J130" s="305"/>
      <c r="K130" s="305"/>
      <c r="L130" s="305"/>
      <c r="M130" s="305"/>
      <c r="N130" s="305"/>
      <c r="O130" s="305"/>
      <c r="P130" s="305"/>
    </row>
    <row r="131" spans="3:16">
      <c r="C131" s="225"/>
      <c r="D131" s="225"/>
      <c r="E131" s="225"/>
      <c r="F131" s="225"/>
      <c r="G131" s="225"/>
      <c r="H131" s="225"/>
      <c r="I131" s="225"/>
      <c r="J131" s="225"/>
      <c r="K131" s="225"/>
      <c r="L131" s="225"/>
      <c r="M131" s="225"/>
      <c r="N131" s="225"/>
      <c r="O131" s="305"/>
      <c r="P131" s="305"/>
    </row>
    <row r="132" spans="3:16">
      <c r="C132" s="225"/>
      <c r="D132" s="225"/>
      <c r="E132" s="225"/>
      <c r="F132" s="225"/>
      <c r="G132" s="225"/>
      <c r="H132" s="225"/>
      <c r="I132" s="225"/>
      <c r="J132" s="225"/>
      <c r="K132" s="225"/>
      <c r="L132" s="225"/>
      <c r="M132" s="225"/>
      <c r="N132" s="225"/>
      <c r="O132" s="305"/>
      <c r="P132" s="305"/>
    </row>
    <row r="133" spans="3:16">
      <c r="C133" s="225"/>
      <c r="D133" s="225"/>
      <c r="E133" s="225"/>
      <c r="F133" s="225"/>
      <c r="G133" s="225"/>
      <c r="H133" s="225"/>
      <c r="I133" s="225"/>
      <c r="J133" s="225"/>
      <c r="K133" s="225"/>
      <c r="L133" s="225"/>
      <c r="M133" s="225"/>
      <c r="N133" s="225"/>
      <c r="O133" s="305"/>
      <c r="P133" s="305"/>
    </row>
    <row r="134" spans="3:16">
      <c r="C134" s="225"/>
      <c r="D134" s="225"/>
      <c r="E134" s="225"/>
      <c r="F134" s="225"/>
      <c r="G134" s="225"/>
      <c r="H134" s="225"/>
      <c r="I134" s="225"/>
      <c r="J134" s="225"/>
      <c r="K134" s="225"/>
      <c r="L134" s="225"/>
      <c r="M134" s="225"/>
      <c r="N134" s="225"/>
      <c r="O134" s="305"/>
      <c r="P134" s="305"/>
    </row>
    <row r="135" spans="3:16">
      <c r="C135" s="225"/>
      <c r="D135" s="225"/>
      <c r="E135" s="225"/>
      <c r="F135" s="225"/>
      <c r="G135" s="225"/>
      <c r="H135" s="225"/>
      <c r="I135" s="225"/>
      <c r="J135" s="225"/>
      <c r="K135" s="225"/>
      <c r="L135" s="225"/>
      <c r="M135" s="225"/>
      <c r="N135" s="225"/>
      <c r="O135" s="305"/>
      <c r="P135" s="305"/>
    </row>
    <row r="136" spans="3:16">
      <c r="C136" s="225"/>
      <c r="D136" s="225"/>
      <c r="E136" s="225"/>
      <c r="F136" s="225"/>
      <c r="G136" s="225"/>
      <c r="H136" s="225"/>
      <c r="I136" s="225"/>
      <c r="J136" s="225"/>
      <c r="K136" s="225"/>
      <c r="L136" s="225"/>
      <c r="M136" s="225"/>
      <c r="N136" s="225"/>
      <c r="O136" s="305"/>
      <c r="P136" s="305"/>
    </row>
  </sheetData>
  <mergeCells count="8">
    <mergeCell ref="F48:M49"/>
    <mergeCell ref="F50:M51"/>
    <mergeCell ref="C7:M7"/>
    <mergeCell ref="C8:M8"/>
    <mergeCell ref="C9:M9"/>
    <mergeCell ref="C11:M11"/>
    <mergeCell ref="C12:M12"/>
    <mergeCell ref="F34:M36"/>
  </mergeCells>
  <pageMargins left="0.511811024" right="0.511811024" top="0.78740157499999996" bottom="0.78740157499999996" header="0.31496062000000002" footer="0.31496062000000002"/>
  <pageSetup paperSize="9" scale="67"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706"/>
  <sheetViews>
    <sheetView showGridLines="0" zoomScaleNormal="100" workbookViewId="0">
      <selection activeCell="B2" sqref="B2"/>
    </sheetView>
  </sheetViews>
  <sheetFormatPr defaultRowHeight="12.75"/>
  <cols>
    <col min="1" max="1" width="2.7109375" style="1" customWidth="1"/>
    <col min="2" max="2" width="15.7109375" style="1" customWidth="1"/>
    <col min="3" max="3" width="20.7109375" style="1" customWidth="1"/>
    <col min="4" max="4" width="56.28515625" style="1" customWidth="1"/>
    <col min="5" max="5" width="10.7109375" style="1" customWidth="1"/>
    <col min="6" max="6" width="13.7109375" style="2" customWidth="1"/>
    <col min="7" max="7" width="12.7109375" style="2" customWidth="1"/>
    <col min="8" max="8" width="20.7109375" style="2" customWidth="1"/>
    <col min="9" max="16384" width="9.140625" style="1"/>
  </cols>
  <sheetData>
    <row r="1" spans="2:9" ht="15" customHeight="1">
      <c r="B1" s="227"/>
      <c r="C1" s="227"/>
    </row>
    <row r="2" spans="2:9" s="212" customFormat="1" ht="15" customHeight="1">
      <c r="B2" s="228"/>
      <c r="C2" s="229"/>
      <c r="D2" s="221"/>
      <c r="E2" s="222"/>
      <c r="F2" s="221"/>
      <c r="G2" s="221"/>
      <c r="H2" s="230"/>
    </row>
    <row r="3" spans="2:9" s="212" customFormat="1" ht="15" customHeight="1">
      <c r="B3" s="231"/>
      <c r="C3" s="232"/>
      <c r="D3" s="223"/>
      <c r="E3" s="233"/>
      <c r="F3" s="223"/>
      <c r="G3" s="223"/>
      <c r="H3" s="213"/>
    </row>
    <row r="4" spans="2:9" s="212" customFormat="1" ht="15" customHeight="1">
      <c r="B4" s="231"/>
      <c r="C4" s="232"/>
      <c r="D4" s="480" t="s">
        <v>2238</v>
      </c>
      <c r="E4" s="480"/>
      <c r="F4" s="481" t="s">
        <v>2239</v>
      </c>
      <c r="G4" s="481"/>
      <c r="H4" s="234">
        <v>0.2026</v>
      </c>
    </row>
    <row r="5" spans="2:9" s="212" customFormat="1" ht="15" customHeight="1">
      <c r="B5" s="235"/>
      <c r="C5" s="236"/>
      <c r="D5" s="482" t="s">
        <v>2240</v>
      </c>
      <c r="E5" s="482"/>
      <c r="F5" s="236"/>
      <c r="G5" s="236"/>
      <c r="H5" s="237"/>
    </row>
    <row r="6" spans="2:9" s="212" customFormat="1" ht="15" customHeight="1">
      <c r="B6" s="235"/>
      <c r="C6" s="236"/>
      <c r="D6" s="482" t="s">
        <v>2241</v>
      </c>
      <c r="E6" s="482"/>
      <c r="F6" s="483"/>
      <c r="G6" s="483"/>
      <c r="H6" s="237"/>
    </row>
    <row r="7" spans="2:9" s="212" customFormat="1" ht="15" customHeight="1">
      <c r="B7" s="231"/>
      <c r="C7" s="232"/>
      <c r="D7" s="223"/>
      <c r="E7" s="233"/>
      <c r="F7" s="480"/>
      <c r="G7" s="480"/>
      <c r="H7" s="213"/>
    </row>
    <row r="8" spans="2:9" s="212" customFormat="1" ht="15" customHeight="1">
      <c r="B8" s="484" t="s">
        <v>2249</v>
      </c>
      <c r="C8" s="482"/>
      <c r="D8" s="482"/>
      <c r="E8" s="482"/>
      <c r="F8" s="482"/>
      <c r="G8" s="482"/>
      <c r="H8" s="485"/>
    </row>
    <row r="9" spans="2:9" s="212" customFormat="1" ht="15" customHeight="1">
      <c r="B9" s="486"/>
      <c r="C9" s="487"/>
      <c r="D9" s="487"/>
      <c r="E9" s="487"/>
      <c r="F9" s="487"/>
      <c r="G9" s="487"/>
      <c r="H9" s="488"/>
    </row>
    <row r="10" spans="2:9" s="212" customFormat="1" ht="15" customHeight="1">
      <c r="B10" s="495" t="s">
        <v>2242</v>
      </c>
      <c r="C10" s="496"/>
      <c r="D10" s="496"/>
      <c r="E10" s="233"/>
      <c r="F10" s="223"/>
      <c r="G10" s="223"/>
      <c r="H10" s="213" t="s">
        <v>2849</v>
      </c>
      <c r="I10" s="411"/>
    </row>
    <row r="11" spans="2:9" s="212" customFormat="1" ht="15" customHeight="1">
      <c r="B11" s="486"/>
      <c r="C11" s="487"/>
      <c r="D11" s="487"/>
      <c r="E11" s="487"/>
      <c r="F11" s="487"/>
      <c r="G11" s="487"/>
      <c r="H11" s="488"/>
    </row>
    <row r="12" spans="2:9" s="212" customFormat="1" ht="15" customHeight="1">
      <c r="B12" s="495" t="s">
        <v>2243</v>
      </c>
      <c r="C12" s="496"/>
      <c r="D12" s="496"/>
      <c r="G12" s="493" t="s">
        <v>2244</v>
      </c>
      <c r="H12" s="494"/>
    </row>
    <row r="13" spans="2:9" s="212" customFormat="1" ht="15" customHeight="1">
      <c r="B13" s="486"/>
      <c r="C13" s="487"/>
      <c r="D13" s="487"/>
      <c r="E13" s="487"/>
      <c r="F13" s="487"/>
      <c r="G13" s="487"/>
      <c r="H13" s="488"/>
    </row>
    <row r="14" spans="2:9" s="212" customFormat="1" ht="15" customHeight="1">
      <c r="B14" s="492" t="s">
        <v>2831</v>
      </c>
      <c r="C14" s="493"/>
      <c r="D14" s="493"/>
      <c r="E14" s="493"/>
      <c r="F14" s="493"/>
      <c r="G14" s="493"/>
      <c r="H14" s="494"/>
      <c r="I14" s="410"/>
    </row>
    <row r="15" spans="2:9" s="212" customFormat="1" ht="15" customHeight="1">
      <c r="B15" s="492" t="s">
        <v>2832</v>
      </c>
      <c r="C15" s="493"/>
      <c r="D15" s="493"/>
      <c r="E15" s="493"/>
      <c r="F15" s="493"/>
      <c r="G15" s="493"/>
      <c r="H15" s="494"/>
    </row>
    <row r="16" spans="2:9" s="212" customFormat="1" ht="15" customHeight="1">
      <c r="B16" s="492" t="s">
        <v>2833</v>
      </c>
      <c r="C16" s="493"/>
      <c r="D16" s="493"/>
      <c r="E16" s="493"/>
      <c r="F16" s="493"/>
      <c r="G16" s="493"/>
      <c r="H16" s="494"/>
    </row>
    <row r="17" spans="2:8" s="212" customFormat="1" ht="20.100000000000001" customHeight="1">
      <c r="B17" s="481" t="s">
        <v>2245</v>
      </c>
      <c r="C17" s="481"/>
      <c r="D17" s="481"/>
      <c r="E17" s="481"/>
      <c r="F17" s="481"/>
      <c r="G17" s="481"/>
      <c r="H17" s="481"/>
    </row>
    <row r="18" spans="2:8" s="212" customFormat="1" ht="24.95" customHeight="1">
      <c r="B18" s="238" t="s">
        <v>2246</v>
      </c>
      <c r="C18" s="238" t="s">
        <v>1</v>
      </c>
      <c r="D18" s="238" t="s">
        <v>2</v>
      </c>
      <c r="E18" s="238" t="s">
        <v>2247</v>
      </c>
      <c r="F18" s="239" t="s">
        <v>5</v>
      </c>
      <c r="G18" s="239" t="s">
        <v>2248</v>
      </c>
      <c r="H18" s="240" t="s">
        <v>6</v>
      </c>
    </row>
    <row r="19" spans="2:8" ht="20.100000000000001" customHeight="1">
      <c r="B19" s="241" t="s">
        <v>7</v>
      </c>
      <c r="C19" s="241"/>
      <c r="D19" s="242" t="s">
        <v>8</v>
      </c>
      <c r="E19" s="242"/>
      <c r="F19" s="242"/>
      <c r="G19" s="242"/>
      <c r="H19" s="243"/>
    </row>
    <row r="20" spans="2:8" s="212" customFormat="1" ht="15" customHeight="1">
      <c r="B20" s="244" t="s">
        <v>9</v>
      </c>
      <c r="C20" s="244"/>
      <c r="D20" s="245" t="s">
        <v>10</v>
      </c>
      <c r="E20" s="245"/>
      <c r="F20" s="245"/>
      <c r="G20" s="245"/>
      <c r="H20" s="246"/>
    </row>
    <row r="21" spans="2:8" ht="25.5">
      <c r="B21" s="270"/>
      <c r="C21" s="251" t="s">
        <v>1940</v>
      </c>
      <c r="D21" s="3" t="s">
        <v>11</v>
      </c>
      <c r="E21" s="4" t="s">
        <v>13</v>
      </c>
      <c r="F21" s="5" t="s">
        <v>14</v>
      </c>
      <c r="G21" s="105">
        <f>CPU!H24</f>
        <v>474.96000000000004</v>
      </c>
      <c r="H21" s="8">
        <f>F21*G21</f>
        <v>4749.6000000000004</v>
      </c>
    </row>
    <row r="22" spans="2:8" s="212" customFormat="1" ht="20.100000000000001" customHeight="1">
      <c r="B22" s="247"/>
      <c r="C22" s="259"/>
      <c r="D22" s="260" t="s">
        <v>1156</v>
      </c>
      <c r="E22" s="261"/>
      <c r="F22" s="262"/>
      <c r="G22" s="262"/>
      <c r="H22" s="263">
        <f>SUM(H21:H21)</f>
        <v>4749.6000000000004</v>
      </c>
    </row>
    <row r="23" spans="2:8" s="212" customFormat="1" ht="20.100000000000001" customHeight="1">
      <c r="B23" s="248" t="s">
        <v>16</v>
      </c>
      <c r="C23" s="248"/>
      <c r="D23" s="264" t="s">
        <v>17</v>
      </c>
      <c r="E23" s="264"/>
      <c r="F23" s="264"/>
      <c r="G23" s="264"/>
      <c r="H23" s="265"/>
    </row>
    <row r="24" spans="2:8" s="212" customFormat="1" ht="15" customHeight="1">
      <c r="B24" s="249" t="s">
        <v>18</v>
      </c>
      <c r="C24" s="249"/>
      <c r="D24" s="266" t="s">
        <v>19</v>
      </c>
      <c r="E24" s="266"/>
      <c r="F24" s="266"/>
      <c r="G24" s="266"/>
      <c r="H24" s="267"/>
    </row>
    <row r="25" spans="2:8" s="212" customFormat="1" ht="15" customHeight="1">
      <c r="B25" s="250" t="s">
        <v>20</v>
      </c>
      <c r="C25" s="250"/>
      <c r="D25" s="268" t="s">
        <v>21</v>
      </c>
      <c r="E25" s="268"/>
      <c r="F25" s="268"/>
      <c r="G25" s="268"/>
      <c r="H25" s="269"/>
    </row>
    <row r="26" spans="2:8" ht="38.25">
      <c r="B26" s="251" t="s">
        <v>2250</v>
      </c>
      <c r="C26" s="251" t="s">
        <v>22</v>
      </c>
      <c r="D26" s="3" t="s">
        <v>23</v>
      </c>
      <c r="E26" s="4" t="s">
        <v>24</v>
      </c>
      <c r="F26" s="5" t="s">
        <v>25</v>
      </c>
      <c r="G26" s="105">
        <v>1147.21</v>
      </c>
      <c r="H26" s="8">
        <f t="shared" ref="H26:H86" si="0">F26*G26</f>
        <v>30974.670000000002</v>
      </c>
    </row>
    <row r="27" spans="2:8" ht="38.25">
      <c r="B27" s="251" t="s">
        <v>2251</v>
      </c>
      <c r="C27" s="251" t="s">
        <v>26</v>
      </c>
      <c r="D27" s="3" t="s">
        <v>27</v>
      </c>
      <c r="E27" s="4" t="s">
        <v>24</v>
      </c>
      <c r="F27" s="5" t="s">
        <v>28</v>
      </c>
      <c r="G27" s="105">
        <v>940.84</v>
      </c>
      <c r="H27" s="8">
        <f t="shared" si="0"/>
        <v>41396.959999999999</v>
      </c>
    </row>
    <row r="28" spans="2:8" ht="38.25">
      <c r="B28" s="251" t="s">
        <v>2252</v>
      </c>
      <c r="C28" s="251" t="s">
        <v>29</v>
      </c>
      <c r="D28" s="3" t="s">
        <v>30</v>
      </c>
      <c r="E28" s="4" t="s">
        <v>24</v>
      </c>
      <c r="F28" s="5" t="s">
        <v>31</v>
      </c>
      <c r="G28" s="105">
        <v>607.76</v>
      </c>
      <c r="H28" s="8">
        <f t="shared" si="0"/>
        <v>17017.28</v>
      </c>
    </row>
    <row r="29" spans="2:8" ht="38.25">
      <c r="B29" s="251" t="s">
        <v>2253</v>
      </c>
      <c r="C29" s="251" t="s">
        <v>32</v>
      </c>
      <c r="D29" s="3" t="s">
        <v>33</v>
      </c>
      <c r="E29" s="4" t="s">
        <v>24</v>
      </c>
      <c r="F29" s="5" t="s">
        <v>34</v>
      </c>
      <c r="G29" s="105">
        <v>1009.67</v>
      </c>
      <c r="H29" s="8">
        <f t="shared" si="0"/>
        <v>18174.059999999998</v>
      </c>
    </row>
    <row r="30" spans="2:8" ht="38.25">
      <c r="B30" s="251" t="s">
        <v>2254</v>
      </c>
      <c r="C30" s="251" t="s">
        <v>35</v>
      </c>
      <c r="D30" s="3" t="s">
        <v>36</v>
      </c>
      <c r="E30" s="4" t="s">
        <v>37</v>
      </c>
      <c r="F30" s="5" t="s">
        <v>38</v>
      </c>
      <c r="G30" s="105">
        <v>6528.56</v>
      </c>
      <c r="H30" s="8">
        <f t="shared" si="0"/>
        <v>6528.56</v>
      </c>
    </row>
    <row r="31" spans="2:8" ht="38.25">
      <c r="B31" s="251" t="s">
        <v>2255</v>
      </c>
      <c r="C31" s="251" t="s">
        <v>39</v>
      </c>
      <c r="D31" s="3" t="s">
        <v>40</v>
      </c>
      <c r="E31" s="4" t="s">
        <v>37</v>
      </c>
      <c r="F31" s="5" t="s">
        <v>38</v>
      </c>
      <c r="G31" s="105">
        <v>10057.799999999999</v>
      </c>
      <c r="H31" s="8">
        <f t="shared" si="0"/>
        <v>10057.799999999999</v>
      </c>
    </row>
    <row r="32" spans="2:8" ht="38.25">
      <c r="B32" s="251" t="s">
        <v>2256</v>
      </c>
      <c r="C32" s="251" t="s">
        <v>41</v>
      </c>
      <c r="D32" s="3" t="s">
        <v>42</v>
      </c>
      <c r="E32" s="4" t="s">
        <v>24</v>
      </c>
      <c r="F32" s="5" t="s">
        <v>43</v>
      </c>
      <c r="G32" s="105">
        <v>454.11</v>
      </c>
      <c r="H32" s="8">
        <f t="shared" si="0"/>
        <v>14531.52</v>
      </c>
    </row>
    <row r="33" spans="2:8" ht="38.25">
      <c r="B33" s="251" t="s">
        <v>2257</v>
      </c>
      <c r="C33" s="251" t="s">
        <v>44</v>
      </c>
      <c r="D33" s="3" t="s">
        <v>45</v>
      </c>
      <c r="E33" s="4" t="s">
        <v>24</v>
      </c>
      <c r="F33" s="5" t="s">
        <v>46</v>
      </c>
      <c r="G33" s="105">
        <v>927.77</v>
      </c>
      <c r="H33" s="8">
        <f t="shared" si="0"/>
        <v>14844.32</v>
      </c>
    </row>
    <row r="34" spans="2:8" ht="38.25">
      <c r="B34" s="251" t="s">
        <v>2258</v>
      </c>
      <c r="C34" s="251" t="s">
        <v>47</v>
      </c>
      <c r="D34" s="3" t="s">
        <v>48</v>
      </c>
      <c r="E34" s="4" t="s">
        <v>24</v>
      </c>
      <c r="F34" s="5" t="s">
        <v>49</v>
      </c>
      <c r="G34" s="105">
        <v>1230.6199999999999</v>
      </c>
      <c r="H34" s="8">
        <f t="shared" si="0"/>
        <v>4922.4799999999996</v>
      </c>
    </row>
    <row r="35" spans="2:8" s="212" customFormat="1" ht="15" customHeight="1">
      <c r="B35" s="250" t="s">
        <v>50</v>
      </c>
      <c r="C35" s="250"/>
      <c r="D35" s="268" t="s">
        <v>51</v>
      </c>
      <c r="E35" s="268"/>
      <c r="F35" s="268"/>
      <c r="G35" s="268"/>
      <c r="H35" s="271"/>
    </row>
    <row r="36" spans="2:8" ht="25.5">
      <c r="B36" s="251" t="s">
        <v>2259</v>
      </c>
      <c r="C36" s="251" t="s">
        <v>1942</v>
      </c>
      <c r="D36" s="3" t="s">
        <v>52</v>
      </c>
      <c r="E36" s="4" t="s">
        <v>37</v>
      </c>
      <c r="F36" s="5" t="s">
        <v>38</v>
      </c>
      <c r="G36" s="105">
        <f>CPU!H44</f>
        <v>1969.73218</v>
      </c>
      <c r="H36" s="8">
        <f t="shared" si="0"/>
        <v>1969.73218</v>
      </c>
    </row>
    <row r="37" spans="2:8" ht="25.5">
      <c r="B37" s="251" t="s">
        <v>2260</v>
      </c>
      <c r="C37" s="251" t="s">
        <v>1948</v>
      </c>
      <c r="D37" s="3" t="s">
        <v>53</v>
      </c>
      <c r="E37" s="4" t="s">
        <v>37</v>
      </c>
      <c r="F37" s="5" t="s">
        <v>38</v>
      </c>
      <c r="G37" s="105">
        <f>CPU!H52</f>
        <v>4095.5532000000003</v>
      </c>
      <c r="H37" s="8">
        <f t="shared" si="0"/>
        <v>4095.5532000000003</v>
      </c>
    </row>
    <row r="38" spans="2:8" ht="25.5">
      <c r="B38" s="251" t="s">
        <v>2261</v>
      </c>
      <c r="C38" s="251" t="s">
        <v>1949</v>
      </c>
      <c r="D38" s="3" t="s">
        <v>54</v>
      </c>
      <c r="E38" s="4" t="s">
        <v>37</v>
      </c>
      <c r="F38" s="5" t="s">
        <v>38</v>
      </c>
      <c r="G38" s="105">
        <f>CPU!H66</f>
        <v>1188.6671634999998</v>
      </c>
      <c r="H38" s="8">
        <f t="shared" si="0"/>
        <v>1188.6671634999998</v>
      </c>
    </row>
    <row r="39" spans="2:8" ht="25.5">
      <c r="B39" s="251" t="s">
        <v>2262</v>
      </c>
      <c r="C39" s="251" t="s">
        <v>1951</v>
      </c>
      <c r="D39" s="214" t="s">
        <v>55</v>
      </c>
      <c r="E39" s="4" t="s">
        <v>37</v>
      </c>
      <c r="F39" s="5" t="s">
        <v>38</v>
      </c>
      <c r="G39" s="105">
        <f>CPU!H75</f>
        <v>661.23586239999997</v>
      </c>
      <c r="H39" s="8">
        <f t="shared" si="0"/>
        <v>661.23586239999997</v>
      </c>
    </row>
    <row r="40" spans="2:8" s="212" customFormat="1" ht="15" customHeight="1">
      <c r="B40" s="250" t="s">
        <v>56</v>
      </c>
      <c r="C40" s="250"/>
      <c r="D40" s="268" t="s">
        <v>57</v>
      </c>
      <c r="E40" s="268"/>
      <c r="F40" s="268"/>
      <c r="G40" s="268"/>
      <c r="H40" s="271"/>
    </row>
    <row r="41" spans="2:8" ht="15" customHeight="1">
      <c r="B41" s="251" t="s">
        <v>2263</v>
      </c>
      <c r="C41" s="251">
        <v>4813</v>
      </c>
      <c r="D41" s="214" t="s">
        <v>58</v>
      </c>
      <c r="E41" s="4" t="s">
        <v>24</v>
      </c>
      <c r="F41" s="5" t="s">
        <v>59</v>
      </c>
      <c r="G41" s="105">
        <v>225</v>
      </c>
      <c r="H41" s="8">
        <f t="shared" si="0"/>
        <v>3168</v>
      </c>
    </row>
    <row r="42" spans="2:8" ht="15" customHeight="1">
      <c r="B42" s="251" t="s">
        <v>2264</v>
      </c>
      <c r="C42" s="251" t="s">
        <v>60</v>
      </c>
      <c r="D42" s="214" t="s">
        <v>61</v>
      </c>
      <c r="E42" s="4" t="s">
        <v>24</v>
      </c>
      <c r="F42" s="5" t="s">
        <v>62</v>
      </c>
      <c r="G42" s="105">
        <v>132.63</v>
      </c>
      <c r="H42" s="8">
        <f t="shared" si="0"/>
        <v>114857.58</v>
      </c>
    </row>
    <row r="43" spans="2:8" s="212" customFormat="1" ht="15" customHeight="1">
      <c r="B43" s="250" t="s">
        <v>63</v>
      </c>
      <c r="C43" s="250"/>
      <c r="D43" s="268" t="s">
        <v>64</v>
      </c>
      <c r="E43" s="268"/>
      <c r="F43" s="268"/>
      <c r="G43" s="268"/>
      <c r="H43" s="271"/>
    </row>
    <row r="44" spans="2:8" ht="38.25">
      <c r="B44" s="251" t="s">
        <v>2265</v>
      </c>
      <c r="C44" s="251" t="s">
        <v>65</v>
      </c>
      <c r="D44" s="3" t="s">
        <v>66</v>
      </c>
      <c r="E44" s="4" t="s">
        <v>15</v>
      </c>
      <c r="F44" s="5" t="s">
        <v>67</v>
      </c>
      <c r="G44" s="105">
        <v>57.56</v>
      </c>
      <c r="H44" s="8">
        <f t="shared" si="0"/>
        <v>19455.280000000002</v>
      </c>
    </row>
    <row r="45" spans="2:8" s="212" customFormat="1" ht="15" customHeight="1">
      <c r="B45" s="250" t="s">
        <v>68</v>
      </c>
      <c r="C45" s="250"/>
      <c r="D45" s="268" t="s">
        <v>69</v>
      </c>
      <c r="E45" s="268"/>
      <c r="F45" s="268"/>
      <c r="G45" s="268"/>
      <c r="H45" s="271"/>
    </row>
    <row r="46" spans="2:8">
      <c r="B46" s="251" t="s">
        <v>2266</v>
      </c>
      <c r="C46" s="251">
        <v>97914</v>
      </c>
      <c r="D46" s="3" t="s">
        <v>70</v>
      </c>
      <c r="E46" s="4" t="s">
        <v>71</v>
      </c>
      <c r="F46" s="5" t="s">
        <v>72</v>
      </c>
      <c r="G46" s="105">
        <v>2.36</v>
      </c>
      <c r="H46" s="8">
        <f t="shared" si="0"/>
        <v>259156.31999999998</v>
      </c>
    </row>
    <row r="47" spans="2:8" ht="38.25">
      <c r="B47" s="251" t="s">
        <v>2267</v>
      </c>
      <c r="C47" s="251" t="s">
        <v>2176</v>
      </c>
      <c r="D47" s="3" t="s">
        <v>74</v>
      </c>
      <c r="E47" s="4" t="s">
        <v>75</v>
      </c>
      <c r="F47" s="5" t="s">
        <v>76</v>
      </c>
      <c r="G47" s="105">
        <v>6.08</v>
      </c>
      <c r="H47" s="8">
        <f t="shared" si="0"/>
        <v>55638.080000000002</v>
      </c>
    </row>
    <row r="48" spans="2:8" ht="25.5">
      <c r="B48" s="251" t="s">
        <v>2268</v>
      </c>
      <c r="C48" s="251" t="s">
        <v>1954</v>
      </c>
      <c r="D48" s="214" t="s">
        <v>77</v>
      </c>
      <c r="E48" s="4" t="s">
        <v>24</v>
      </c>
      <c r="F48" s="5" t="s">
        <v>78</v>
      </c>
      <c r="G48" s="105">
        <f>CPU!H80</f>
        <v>0.65234999999999999</v>
      </c>
      <c r="H48" s="8">
        <f t="shared" si="0"/>
        <v>6197.9773500000001</v>
      </c>
    </row>
    <row r="49" spans="2:8" ht="25.5">
      <c r="B49" s="251" t="s">
        <v>2269</v>
      </c>
      <c r="C49" s="251" t="s">
        <v>2175</v>
      </c>
      <c r="D49" s="214" t="s">
        <v>79</v>
      </c>
      <c r="E49" s="4" t="s">
        <v>75</v>
      </c>
      <c r="F49" s="5" t="s">
        <v>80</v>
      </c>
      <c r="G49" s="105">
        <f>CPU!H84</f>
        <v>6.6828320000000003</v>
      </c>
      <c r="H49" s="8">
        <f t="shared" si="0"/>
        <v>13833.462240000001</v>
      </c>
    </row>
    <row r="50" spans="2:8" ht="75.75" customHeight="1">
      <c r="B50" s="251" t="s">
        <v>2270</v>
      </c>
      <c r="C50" s="251" t="s">
        <v>81</v>
      </c>
      <c r="D50" s="3" t="s">
        <v>82</v>
      </c>
      <c r="E50" s="4" t="s">
        <v>75</v>
      </c>
      <c r="F50" s="5" t="s">
        <v>83</v>
      </c>
      <c r="G50" s="105">
        <v>8.9499999999999993</v>
      </c>
      <c r="H50" s="8">
        <f t="shared" si="0"/>
        <v>8099.7499999999991</v>
      </c>
    </row>
    <row r="51" spans="2:8" ht="25.5">
      <c r="B51" s="251" t="s">
        <v>2271</v>
      </c>
      <c r="C51" s="251" t="s">
        <v>84</v>
      </c>
      <c r="D51" s="3" t="s">
        <v>85</v>
      </c>
      <c r="E51" s="4" t="s">
        <v>75</v>
      </c>
      <c r="F51" s="5" t="s">
        <v>86</v>
      </c>
      <c r="G51" s="105">
        <v>26.93</v>
      </c>
      <c r="H51" s="8">
        <f t="shared" si="0"/>
        <v>2773.79</v>
      </c>
    </row>
    <row r="52" spans="2:8" s="212" customFormat="1" ht="20.100000000000001" customHeight="1">
      <c r="B52" s="253"/>
      <c r="C52" s="259"/>
      <c r="D52" s="260" t="s">
        <v>1157</v>
      </c>
      <c r="E52" s="261"/>
      <c r="F52" s="262"/>
      <c r="G52" s="262"/>
      <c r="H52" s="263">
        <f>SUM(H26:H51)</f>
        <v>649543.07799589995</v>
      </c>
    </row>
    <row r="53" spans="2:8" s="212" customFormat="1" ht="20.100000000000001" customHeight="1">
      <c r="B53" s="248" t="s">
        <v>87</v>
      </c>
      <c r="C53" s="248"/>
      <c r="D53" s="264" t="s">
        <v>88</v>
      </c>
      <c r="E53" s="264"/>
      <c r="F53" s="264"/>
      <c r="G53" s="264"/>
      <c r="H53" s="272"/>
    </row>
    <row r="54" spans="2:8" s="212" customFormat="1" ht="15" customHeight="1">
      <c r="B54" s="249" t="s">
        <v>89</v>
      </c>
      <c r="C54" s="249"/>
      <c r="D54" s="266" t="s">
        <v>90</v>
      </c>
      <c r="E54" s="266"/>
      <c r="F54" s="266"/>
      <c r="G54" s="266"/>
      <c r="H54" s="273"/>
    </row>
    <row r="55" spans="2:8" s="212" customFormat="1" ht="15" customHeight="1">
      <c r="B55" s="250" t="s">
        <v>91</v>
      </c>
      <c r="C55" s="250"/>
      <c r="D55" s="268" t="s">
        <v>92</v>
      </c>
      <c r="E55" s="268"/>
      <c r="F55" s="268"/>
      <c r="G55" s="268"/>
      <c r="H55" s="271"/>
    </row>
    <row r="56" spans="2:8" s="212" customFormat="1" ht="15" customHeight="1">
      <c r="B56" s="250" t="s">
        <v>93</v>
      </c>
      <c r="C56" s="250"/>
      <c r="D56" s="268" t="s">
        <v>94</v>
      </c>
      <c r="E56" s="268"/>
      <c r="F56" s="268"/>
      <c r="G56" s="268"/>
      <c r="H56" s="271"/>
    </row>
    <row r="57" spans="2:8" s="212" customFormat="1" ht="15" customHeight="1">
      <c r="B57" s="250" t="s">
        <v>95</v>
      </c>
      <c r="C57" s="250"/>
      <c r="D57" s="268" t="s">
        <v>96</v>
      </c>
      <c r="E57" s="268"/>
      <c r="F57" s="268"/>
      <c r="G57" s="268"/>
      <c r="H57" s="271"/>
    </row>
    <row r="58" spans="2:8" ht="38.25">
      <c r="B58" s="251" t="s">
        <v>2272</v>
      </c>
      <c r="C58" s="251" t="s">
        <v>1956</v>
      </c>
      <c r="D58" s="3" t="s">
        <v>97</v>
      </c>
      <c r="E58" s="4" t="s">
        <v>37</v>
      </c>
      <c r="F58" s="5" t="s">
        <v>38</v>
      </c>
      <c r="G58" s="105">
        <f>CPU!H88</f>
        <v>31050.432000000001</v>
      </c>
      <c r="H58" s="8">
        <f t="shared" si="0"/>
        <v>31050.432000000001</v>
      </c>
    </row>
    <row r="59" spans="2:8" ht="51">
      <c r="B59" s="251" t="s">
        <v>2174</v>
      </c>
      <c r="C59" s="251" t="s">
        <v>1957</v>
      </c>
      <c r="D59" s="3" t="s">
        <v>98</v>
      </c>
      <c r="E59" s="4" t="s">
        <v>75</v>
      </c>
      <c r="F59" s="5" t="s">
        <v>99</v>
      </c>
      <c r="G59" s="105">
        <f>CPU!H94</f>
        <v>1.93608</v>
      </c>
      <c r="H59" s="8">
        <f t="shared" si="0"/>
        <v>1837.3399200000001</v>
      </c>
    </row>
    <row r="60" spans="2:8" ht="51">
      <c r="B60" s="251" t="s">
        <v>2273</v>
      </c>
      <c r="C60" s="251" t="s">
        <v>2177</v>
      </c>
      <c r="D60" s="3" t="s">
        <v>100</v>
      </c>
      <c r="E60" s="4" t="s">
        <v>15</v>
      </c>
      <c r="F60" s="5" t="s">
        <v>101</v>
      </c>
      <c r="G60" s="105">
        <f>CPU!H104</f>
        <v>66.281245863999999</v>
      </c>
      <c r="H60" s="8">
        <f t="shared" si="0"/>
        <v>164311.20849685601</v>
      </c>
    </row>
    <row r="61" spans="2:8" ht="64.5" customHeight="1">
      <c r="B61" s="251" t="s">
        <v>2274</v>
      </c>
      <c r="C61" s="251" t="s">
        <v>1959</v>
      </c>
      <c r="D61" s="3" t="s">
        <v>102</v>
      </c>
      <c r="E61" s="4" t="s">
        <v>15</v>
      </c>
      <c r="F61" s="5" t="s">
        <v>103</v>
      </c>
      <c r="G61" s="105">
        <f>CPU!H114</f>
        <v>92.13188886399999</v>
      </c>
      <c r="H61" s="8">
        <f t="shared" si="0"/>
        <v>215220.09238630396</v>
      </c>
    </row>
    <row r="62" spans="2:8" ht="54" customHeight="1">
      <c r="B62" s="251" t="s">
        <v>2275</v>
      </c>
      <c r="C62" s="251" t="s">
        <v>2178</v>
      </c>
      <c r="D62" s="3" t="s">
        <v>104</v>
      </c>
      <c r="E62" s="4" t="s">
        <v>15</v>
      </c>
      <c r="F62" s="5" t="s">
        <v>105</v>
      </c>
      <c r="G62" s="105">
        <f>CPU!H124</f>
        <v>134.00128242400001</v>
      </c>
      <c r="H62" s="8">
        <f t="shared" si="0"/>
        <v>141505.35423974402</v>
      </c>
    </row>
    <row r="63" spans="2:8" ht="38.25">
      <c r="B63" s="251" t="s">
        <v>2276</v>
      </c>
      <c r="C63" s="251" t="s">
        <v>106</v>
      </c>
      <c r="D63" s="3" t="s">
        <v>107</v>
      </c>
      <c r="E63" s="4" t="s">
        <v>108</v>
      </c>
      <c r="F63" s="5" t="s">
        <v>109</v>
      </c>
      <c r="G63" s="105">
        <v>0.65</v>
      </c>
      <c r="H63" s="8">
        <f t="shared" si="0"/>
        <v>21594.3</v>
      </c>
    </row>
    <row r="64" spans="2:8" ht="25.5">
      <c r="B64" s="251" t="s">
        <v>2277</v>
      </c>
      <c r="C64" s="251" t="s">
        <v>110</v>
      </c>
      <c r="D64" s="3" t="s">
        <v>111</v>
      </c>
      <c r="E64" s="4" t="s">
        <v>112</v>
      </c>
      <c r="F64" s="5" t="s">
        <v>113</v>
      </c>
      <c r="G64" s="105">
        <v>14.45</v>
      </c>
      <c r="H64" s="8">
        <f t="shared" si="0"/>
        <v>9797.1</v>
      </c>
    </row>
    <row r="65" spans="2:8" ht="25.5">
      <c r="B65" s="251" t="s">
        <v>2278</v>
      </c>
      <c r="C65" s="251" t="s">
        <v>114</v>
      </c>
      <c r="D65" s="3" t="s">
        <v>115</v>
      </c>
      <c r="E65" s="4" t="s">
        <v>112</v>
      </c>
      <c r="F65" s="5" t="s">
        <v>116</v>
      </c>
      <c r="G65" s="105">
        <v>11.94</v>
      </c>
      <c r="H65" s="8">
        <f t="shared" si="0"/>
        <v>164724.24</v>
      </c>
    </row>
    <row r="66" spans="2:8" ht="25.5">
      <c r="B66" s="251" t="s">
        <v>2279</v>
      </c>
      <c r="C66" s="251" t="s">
        <v>117</v>
      </c>
      <c r="D66" s="3" t="s">
        <v>118</v>
      </c>
      <c r="E66" s="4" t="s">
        <v>112</v>
      </c>
      <c r="F66" s="5" t="s">
        <v>119</v>
      </c>
      <c r="G66" s="105">
        <v>16.79</v>
      </c>
      <c r="H66" s="8">
        <f t="shared" si="0"/>
        <v>60444</v>
      </c>
    </row>
    <row r="67" spans="2:8" ht="25.5">
      <c r="B67" s="251" t="s">
        <v>2280</v>
      </c>
      <c r="C67" s="251" t="s">
        <v>120</v>
      </c>
      <c r="D67" s="3" t="s">
        <v>121</v>
      </c>
      <c r="E67" s="4" t="s">
        <v>37</v>
      </c>
      <c r="F67" s="5" t="s">
        <v>122</v>
      </c>
      <c r="G67" s="105">
        <v>23.17</v>
      </c>
      <c r="H67" s="8">
        <f t="shared" si="0"/>
        <v>9800.91</v>
      </c>
    </row>
    <row r="68" spans="2:8" ht="25.5">
      <c r="B68" s="251" t="s">
        <v>2281</v>
      </c>
      <c r="C68" s="251" t="s">
        <v>123</v>
      </c>
      <c r="D68" s="3" t="s">
        <v>124</v>
      </c>
      <c r="E68" s="4" t="s">
        <v>24</v>
      </c>
      <c r="F68" s="5" t="s">
        <v>125</v>
      </c>
      <c r="G68" s="105">
        <v>0.36</v>
      </c>
      <c r="H68" s="8">
        <f t="shared" si="0"/>
        <v>609.12</v>
      </c>
    </row>
    <row r="69" spans="2:8" s="212" customFormat="1" ht="15" customHeight="1">
      <c r="B69" s="250" t="s">
        <v>126</v>
      </c>
      <c r="C69" s="250"/>
      <c r="D69" s="268" t="s">
        <v>127</v>
      </c>
      <c r="E69" s="268"/>
      <c r="F69" s="268"/>
      <c r="G69" s="268"/>
      <c r="H69" s="271"/>
    </row>
    <row r="70" spans="2:8" ht="51">
      <c r="B70" s="251" t="s">
        <v>2282</v>
      </c>
      <c r="C70" s="251" t="s">
        <v>1957</v>
      </c>
      <c r="D70" s="3" t="s">
        <v>98</v>
      </c>
      <c r="E70" s="4" t="s">
        <v>75</v>
      </c>
      <c r="F70" s="5" t="s">
        <v>128</v>
      </c>
      <c r="G70" s="105">
        <f>CPU!H94</f>
        <v>1.93608</v>
      </c>
      <c r="H70" s="8">
        <f t="shared" si="0"/>
        <v>598.24872000000005</v>
      </c>
    </row>
    <row r="71" spans="2:8" ht="38.25">
      <c r="B71" s="251" t="s">
        <v>2283</v>
      </c>
      <c r="C71" s="251" t="s">
        <v>106</v>
      </c>
      <c r="D71" s="3" t="s">
        <v>107</v>
      </c>
      <c r="E71" s="4" t="s">
        <v>108</v>
      </c>
      <c r="F71" s="5" t="s">
        <v>129</v>
      </c>
      <c r="G71" s="105">
        <v>0.65</v>
      </c>
      <c r="H71" s="8">
        <f t="shared" si="0"/>
        <v>7038.85</v>
      </c>
    </row>
    <row r="72" spans="2:8" ht="25.5">
      <c r="B72" s="251" t="s">
        <v>2284</v>
      </c>
      <c r="C72" s="251" t="s">
        <v>130</v>
      </c>
      <c r="D72" s="3" t="s">
        <v>131</v>
      </c>
      <c r="E72" s="4" t="s">
        <v>75</v>
      </c>
      <c r="F72" s="5" t="s">
        <v>132</v>
      </c>
      <c r="G72" s="105">
        <v>86.73</v>
      </c>
      <c r="H72" s="8">
        <f t="shared" si="0"/>
        <v>57328.530000000006</v>
      </c>
    </row>
    <row r="73" spans="2:8" ht="25.5">
      <c r="B73" s="251" t="s">
        <v>2285</v>
      </c>
      <c r="C73" s="251" t="s">
        <v>133</v>
      </c>
      <c r="D73" s="3" t="s">
        <v>134</v>
      </c>
      <c r="E73" s="4" t="s">
        <v>75</v>
      </c>
      <c r="F73" s="5" t="s">
        <v>135</v>
      </c>
      <c r="G73" s="105">
        <v>44.73</v>
      </c>
      <c r="H73" s="8">
        <f t="shared" si="0"/>
        <v>19681.199999999997</v>
      </c>
    </row>
    <row r="74" spans="2:8" ht="15" customHeight="1">
      <c r="B74" s="254"/>
      <c r="C74" s="7"/>
      <c r="D74" s="274" t="s">
        <v>1164</v>
      </c>
      <c r="E74" s="275"/>
      <c r="F74" s="276"/>
      <c r="G74" s="276"/>
      <c r="H74" s="277">
        <f>SUM(H58:H73)</f>
        <v>905540.92576290399</v>
      </c>
    </row>
    <row r="75" spans="2:8" s="212" customFormat="1" ht="15" customHeight="1">
      <c r="B75" s="249" t="s">
        <v>136</v>
      </c>
      <c r="C75" s="249"/>
      <c r="D75" s="266" t="s">
        <v>137</v>
      </c>
      <c r="E75" s="266"/>
      <c r="F75" s="266"/>
      <c r="G75" s="266"/>
      <c r="H75" s="273"/>
    </row>
    <row r="76" spans="2:8" s="212" customFormat="1" ht="15" customHeight="1">
      <c r="B76" s="250" t="s">
        <v>138</v>
      </c>
      <c r="C76" s="250"/>
      <c r="D76" s="268" t="s">
        <v>139</v>
      </c>
      <c r="E76" s="268"/>
      <c r="F76" s="268"/>
      <c r="G76" s="268"/>
      <c r="H76" s="271"/>
    </row>
    <row r="77" spans="2:8" ht="38.25">
      <c r="B77" s="251" t="s">
        <v>2286</v>
      </c>
      <c r="C77" s="251" t="s">
        <v>140</v>
      </c>
      <c r="D77" s="3" t="s">
        <v>141</v>
      </c>
      <c r="E77" s="4" t="s">
        <v>75</v>
      </c>
      <c r="F77" s="5" t="s">
        <v>142</v>
      </c>
      <c r="G77" s="105">
        <v>175.93</v>
      </c>
      <c r="H77" s="8">
        <f t="shared" si="0"/>
        <v>9324.2900000000009</v>
      </c>
    </row>
    <row r="78" spans="2:8" s="212" customFormat="1" ht="15" customHeight="1">
      <c r="B78" s="250" t="s">
        <v>143</v>
      </c>
      <c r="C78" s="250"/>
      <c r="D78" s="268" t="s">
        <v>144</v>
      </c>
      <c r="E78" s="268"/>
      <c r="F78" s="268"/>
      <c r="G78" s="268"/>
      <c r="H78" s="271"/>
    </row>
    <row r="79" spans="2:8" ht="51">
      <c r="B79" s="251" t="s">
        <v>2287</v>
      </c>
      <c r="C79" s="251" t="s">
        <v>145</v>
      </c>
      <c r="D79" s="3" t="s">
        <v>146</v>
      </c>
      <c r="E79" s="4" t="s">
        <v>24</v>
      </c>
      <c r="F79" s="5" t="s">
        <v>147</v>
      </c>
      <c r="G79" s="105">
        <v>132.18</v>
      </c>
      <c r="H79" s="8">
        <f t="shared" si="0"/>
        <v>99425.796000000017</v>
      </c>
    </row>
    <row r="80" spans="2:8" ht="51">
      <c r="B80" s="251" t="s">
        <v>2288</v>
      </c>
      <c r="C80" s="251" t="s">
        <v>148</v>
      </c>
      <c r="D80" s="3" t="s">
        <v>149</v>
      </c>
      <c r="E80" s="4" t="s">
        <v>24</v>
      </c>
      <c r="F80" s="5" t="s">
        <v>150</v>
      </c>
      <c r="G80" s="105">
        <v>90.49</v>
      </c>
      <c r="H80" s="8">
        <f t="shared" si="0"/>
        <v>169849.72999999998</v>
      </c>
    </row>
    <row r="81" spans="2:8" s="212" customFormat="1" ht="15" customHeight="1">
      <c r="B81" s="250" t="s">
        <v>151</v>
      </c>
      <c r="C81" s="250"/>
      <c r="D81" s="268" t="s">
        <v>152</v>
      </c>
      <c r="E81" s="268"/>
      <c r="F81" s="268"/>
      <c r="G81" s="268"/>
      <c r="H81" s="271"/>
    </row>
    <row r="82" spans="2:8" ht="24.95" customHeight="1">
      <c r="B82" s="251" t="s">
        <v>2289</v>
      </c>
      <c r="C82" s="251" t="s">
        <v>153</v>
      </c>
      <c r="D82" s="3" t="s">
        <v>154</v>
      </c>
      <c r="E82" s="4" t="s">
        <v>112</v>
      </c>
      <c r="F82" s="5" t="s">
        <v>155</v>
      </c>
      <c r="G82" s="105">
        <v>19.7</v>
      </c>
      <c r="H82" s="8">
        <f t="shared" si="0"/>
        <v>95032.8</v>
      </c>
    </row>
    <row r="83" spans="2:8" ht="24.95" customHeight="1">
      <c r="B83" s="251" t="s">
        <v>2290</v>
      </c>
      <c r="C83" s="251" t="s">
        <v>156</v>
      </c>
      <c r="D83" s="3" t="s">
        <v>157</v>
      </c>
      <c r="E83" s="4" t="s">
        <v>112</v>
      </c>
      <c r="F83" s="5" t="s">
        <v>158</v>
      </c>
      <c r="G83" s="105">
        <v>18.510000000000002</v>
      </c>
      <c r="H83" s="8">
        <f t="shared" si="0"/>
        <v>114928.59000000001</v>
      </c>
    </row>
    <row r="84" spans="2:8" ht="24.95" customHeight="1">
      <c r="B84" s="251" t="s">
        <v>2291</v>
      </c>
      <c r="C84" s="251" t="s">
        <v>159</v>
      </c>
      <c r="D84" s="3" t="s">
        <v>160</v>
      </c>
      <c r="E84" s="4" t="s">
        <v>112</v>
      </c>
      <c r="F84" s="5" t="s">
        <v>161</v>
      </c>
      <c r="G84" s="105">
        <v>16.579999999999998</v>
      </c>
      <c r="H84" s="8">
        <f t="shared" si="0"/>
        <v>125178.99999999999</v>
      </c>
    </row>
    <row r="85" spans="2:8" ht="24.95" customHeight="1">
      <c r="B85" s="251" t="s">
        <v>2292</v>
      </c>
      <c r="C85" s="251" t="s">
        <v>162</v>
      </c>
      <c r="D85" s="3" t="s">
        <v>163</v>
      </c>
      <c r="E85" s="4" t="s">
        <v>112</v>
      </c>
      <c r="F85" s="5" t="s">
        <v>164</v>
      </c>
      <c r="G85" s="105">
        <v>14.04</v>
      </c>
      <c r="H85" s="8">
        <f t="shared" si="0"/>
        <v>23643.359999999997</v>
      </c>
    </row>
    <row r="86" spans="2:8" ht="24.95" customHeight="1">
      <c r="B86" s="251" t="s">
        <v>2293</v>
      </c>
      <c r="C86" s="251" t="s">
        <v>165</v>
      </c>
      <c r="D86" s="3" t="s">
        <v>166</v>
      </c>
      <c r="E86" s="4" t="s">
        <v>112</v>
      </c>
      <c r="F86" s="5" t="s">
        <v>167</v>
      </c>
      <c r="G86" s="105">
        <v>13.36</v>
      </c>
      <c r="H86" s="8">
        <f t="shared" si="0"/>
        <v>32838.879999999997</v>
      </c>
    </row>
    <row r="87" spans="2:8" ht="24.95" customHeight="1">
      <c r="B87" s="251" t="s">
        <v>2294</v>
      </c>
      <c r="C87" s="251" t="s">
        <v>168</v>
      </c>
      <c r="D87" s="3" t="s">
        <v>169</v>
      </c>
      <c r="E87" s="4" t="s">
        <v>112</v>
      </c>
      <c r="F87" s="5" t="s">
        <v>170</v>
      </c>
      <c r="G87" s="105">
        <v>14.91</v>
      </c>
      <c r="H87" s="8">
        <f t="shared" ref="H87:H150" si="1">F87*G87</f>
        <v>22514.1</v>
      </c>
    </row>
    <row r="88" spans="2:8" s="212" customFormat="1" ht="15" customHeight="1">
      <c r="B88" s="250" t="s">
        <v>171</v>
      </c>
      <c r="C88" s="250"/>
      <c r="D88" s="268" t="s">
        <v>172</v>
      </c>
      <c r="E88" s="268"/>
      <c r="F88" s="268"/>
      <c r="G88" s="268"/>
      <c r="H88" s="271"/>
    </row>
    <row r="89" spans="2:8" ht="36.75" customHeight="1">
      <c r="B89" s="251" t="s">
        <v>2295</v>
      </c>
      <c r="C89" s="251" t="s">
        <v>1961</v>
      </c>
      <c r="D89" s="3" t="s">
        <v>173</v>
      </c>
      <c r="E89" s="4" t="s">
        <v>75</v>
      </c>
      <c r="F89" s="5" t="s">
        <v>174</v>
      </c>
      <c r="G89" s="105">
        <f>CPU!H132</f>
        <v>442.09539000000001</v>
      </c>
      <c r="H89" s="8">
        <f t="shared" si="1"/>
        <v>177059.203695</v>
      </c>
    </row>
    <row r="90" spans="2:8" s="212" customFormat="1" ht="15" customHeight="1">
      <c r="B90" s="250" t="s">
        <v>175</v>
      </c>
      <c r="C90" s="250"/>
      <c r="D90" s="268" t="s">
        <v>176</v>
      </c>
      <c r="E90" s="268"/>
      <c r="F90" s="268"/>
      <c r="G90" s="268"/>
      <c r="H90" s="271"/>
    </row>
    <row r="91" spans="2:8" ht="25.5">
      <c r="B91" s="251" t="s">
        <v>2296</v>
      </c>
      <c r="C91" s="251" t="s">
        <v>177</v>
      </c>
      <c r="D91" s="3" t="s">
        <v>178</v>
      </c>
      <c r="E91" s="4" t="s">
        <v>24</v>
      </c>
      <c r="F91" s="5" t="s">
        <v>179</v>
      </c>
      <c r="G91" s="105">
        <v>34.1</v>
      </c>
      <c r="H91" s="8">
        <f t="shared" si="1"/>
        <v>93918.22</v>
      </c>
    </row>
    <row r="92" spans="2:8" s="212" customFormat="1" ht="15" customHeight="1">
      <c r="B92" s="255"/>
      <c r="C92" s="251"/>
      <c r="D92" s="274" t="s">
        <v>1165</v>
      </c>
      <c r="E92" s="275"/>
      <c r="F92" s="276"/>
      <c r="G92" s="276"/>
      <c r="H92" s="277">
        <f>SUM(H77:H91)</f>
        <v>963713.96969499998</v>
      </c>
    </row>
    <row r="93" spans="2:8" s="212" customFormat="1" ht="15" customHeight="1">
      <c r="B93" s="250" t="s">
        <v>180</v>
      </c>
      <c r="C93" s="250"/>
      <c r="D93" s="268" t="s">
        <v>181</v>
      </c>
      <c r="E93" s="268"/>
      <c r="F93" s="268"/>
      <c r="G93" s="268"/>
      <c r="H93" s="271" t="s">
        <v>1155</v>
      </c>
    </row>
    <row r="94" spans="2:8" s="212" customFormat="1" ht="15" customHeight="1">
      <c r="B94" s="250" t="s">
        <v>182</v>
      </c>
      <c r="C94" s="250"/>
      <c r="D94" s="268" t="s">
        <v>183</v>
      </c>
      <c r="E94" s="268"/>
      <c r="F94" s="268"/>
      <c r="G94" s="268"/>
      <c r="H94" s="271" t="s">
        <v>1155</v>
      </c>
    </row>
    <row r="95" spans="2:8" s="212" customFormat="1" ht="15" customHeight="1">
      <c r="B95" s="250" t="s">
        <v>184</v>
      </c>
      <c r="C95" s="250"/>
      <c r="D95" s="268" t="s">
        <v>185</v>
      </c>
      <c r="E95" s="268"/>
      <c r="F95" s="268"/>
      <c r="G95" s="268"/>
      <c r="H95" s="271" t="s">
        <v>1155</v>
      </c>
    </row>
    <row r="96" spans="2:8" s="212" customFormat="1" ht="15" customHeight="1">
      <c r="B96" s="250" t="s">
        <v>186</v>
      </c>
      <c r="C96" s="250"/>
      <c r="D96" s="268" t="s">
        <v>187</v>
      </c>
      <c r="E96" s="268"/>
      <c r="F96" s="268"/>
      <c r="G96" s="268"/>
      <c r="H96" s="271" t="s">
        <v>1155</v>
      </c>
    </row>
    <row r="97" spans="2:8" ht="66.75" customHeight="1">
      <c r="B97" s="251" t="s">
        <v>2297</v>
      </c>
      <c r="C97" s="251" t="s">
        <v>2213</v>
      </c>
      <c r="D97" s="3" t="s">
        <v>188</v>
      </c>
      <c r="E97" s="4" t="s">
        <v>24</v>
      </c>
      <c r="F97" s="5" t="s">
        <v>189</v>
      </c>
      <c r="G97" s="105">
        <v>65.599999999999994</v>
      </c>
      <c r="H97" s="8">
        <f t="shared" si="1"/>
        <v>37064</v>
      </c>
    </row>
    <row r="98" spans="2:8" s="212" customFormat="1" ht="15" customHeight="1">
      <c r="B98" s="250" t="s">
        <v>190</v>
      </c>
      <c r="C98" s="250"/>
      <c r="D98" s="268" t="s">
        <v>152</v>
      </c>
      <c r="E98" s="268"/>
      <c r="F98" s="268"/>
      <c r="G98" s="268"/>
      <c r="H98" s="271" t="s">
        <v>1155</v>
      </c>
    </row>
    <row r="99" spans="2:8" ht="51">
      <c r="B99" s="251" t="s">
        <v>2298</v>
      </c>
      <c r="C99" s="251" t="s">
        <v>191</v>
      </c>
      <c r="D99" s="3" t="s">
        <v>192</v>
      </c>
      <c r="E99" s="4" t="s">
        <v>112</v>
      </c>
      <c r="F99" s="5" t="s">
        <v>193</v>
      </c>
      <c r="G99" s="105">
        <v>20.93</v>
      </c>
      <c r="H99" s="8">
        <f t="shared" si="1"/>
        <v>5640.6350000000002</v>
      </c>
    </row>
    <row r="100" spans="2:8" ht="51">
      <c r="B100" s="251" t="s">
        <v>2299</v>
      </c>
      <c r="C100" s="251" t="s">
        <v>194</v>
      </c>
      <c r="D100" s="3" t="s">
        <v>195</v>
      </c>
      <c r="E100" s="4" t="s">
        <v>112</v>
      </c>
      <c r="F100" s="5" t="s">
        <v>196</v>
      </c>
      <c r="G100" s="105">
        <v>19.760000000000002</v>
      </c>
      <c r="H100" s="8">
        <f t="shared" si="1"/>
        <v>40320.280000000006</v>
      </c>
    </row>
    <row r="101" spans="2:8" ht="51">
      <c r="B101" s="251" t="s">
        <v>2300</v>
      </c>
      <c r="C101" s="251" t="s">
        <v>197</v>
      </c>
      <c r="D101" s="3" t="s">
        <v>198</v>
      </c>
      <c r="E101" s="4" t="s">
        <v>112</v>
      </c>
      <c r="F101" s="5" t="s">
        <v>199</v>
      </c>
      <c r="G101" s="105">
        <v>16.510000000000002</v>
      </c>
      <c r="H101" s="8">
        <f t="shared" si="1"/>
        <v>14401.673000000001</v>
      </c>
    </row>
    <row r="102" spans="2:8" ht="51">
      <c r="B102" s="251" t="s">
        <v>2301</v>
      </c>
      <c r="C102" s="251" t="s">
        <v>200</v>
      </c>
      <c r="D102" s="3" t="s">
        <v>201</v>
      </c>
      <c r="E102" s="4" t="s">
        <v>112</v>
      </c>
      <c r="F102" s="5" t="s">
        <v>202</v>
      </c>
      <c r="G102" s="105">
        <v>13.9</v>
      </c>
      <c r="H102" s="8">
        <f t="shared" si="1"/>
        <v>32261.9</v>
      </c>
    </row>
    <row r="103" spans="2:8" ht="51">
      <c r="B103" s="251" t="s">
        <v>2302</v>
      </c>
      <c r="C103" s="251" t="s">
        <v>203</v>
      </c>
      <c r="D103" s="3" t="s">
        <v>204</v>
      </c>
      <c r="E103" s="4" t="s">
        <v>112</v>
      </c>
      <c r="F103" s="5" t="s">
        <v>205</v>
      </c>
      <c r="G103" s="105">
        <v>13.13</v>
      </c>
      <c r="H103" s="8">
        <f t="shared" si="1"/>
        <v>37017.409000000007</v>
      </c>
    </row>
    <row r="104" spans="2:8" ht="51">
      <c r="B104" s="251" t="s">
        <v>2303</v>
      </c>
      <c r="C104" s="251" t="s">
        <v>206</v>
      </c>
      <c r="D104" s="3" t="s">
        <v>207</v>
      </c>
      <c r="E104" s="4" t="s">
        <v>112</v>
      </c>
      <c r="F104" s="5" t="s">
        <v>208</v>
      </c>
      <c r="G104" s="105">
        <v>14.64</v>
      </c>
      <c r="H104" s="8">
        <f t="shared" si="1"/>
        <v>6006.7920000000004</v>
      </c>
    </row>
    <row r="105" spans="2:8" s="212" customFormat="1" ht="15" customHeight="1">
      <c r="B105" s="250" t="s">
        <v>209</v>
      </c>
      <c r="C105" s="250"/>
      <c r="D105" s="268" t="s">
        <v>172</v>
      </c>
      <c r="E105" s="268"/>
      <c r="F105" s="268"/>
      <c r="G105" s="268"/>
      <c r="H105" s="271" t="s">
        <v>1155</v>
      </c>
    </row>
    <row r="106" spans="2:8" ht="50.25" customHeight="1">
      <c r="B106" s="251" t="s">
        <v>2304</v>
      </c>
      <c r="C106" s="251" t="s">
        <v>210</v>
      </c>
      <c r="D106" s="3" t="s">
        <v>211</v>
      </c>
      <c r="E106" s="4" t="s">
        <v>75</v>
      </c>
      <c r="F106" s="5" t="s">
        <v>212</v>
      </c>
      <c r="G106" s="105">
        <v>437.68</v>
      </c>
      <c r="H106" s="8">
        <f t="shared" si="1"/>
        <v>24317.500800000002</v>
      </c>
    </row>
    <row r="107" spans="2:8" s="212" customFormat="1" ht="15" customHeight="1">
      <c r="B107" s="250" t="s">
        <v>213</v>
      </c>
      <c r="C107" s="250"/>
      <c r="D107" s="268" t="s">
        <v>214</v>
      </c>
      <c r="E107" s="268"/>
      <c r="F107" s="268"/>
      <c r="G107" s="268"/>
      <c r="H107" s="271" t="s">
        <v>1155</v>
      </c>
    </row>
    <row r="108" spans="2:8" s="212" customFormat="1" ht="15" customHeight="1">
      <c r="B108" s="250" t="s">
        <v>215</v>
      </c>
      <c r="C108" s="250"/>
      <c r="D108" s="268" t="s">
        <v>187</v>
      </c>
      <c r="E108" s="268"/>
      <c r="F108" s="268"/>
      <c r="G108" s="268"/>
      <c r="H108" s="271" t="s">
        <v>1155</v>
      </c>
    </row>
    <row r="109" spans="2:8" ht="51">
      <c r="B109" s="251" t="s">
        <v>2305</v>
      </c>
      <c r="C109" s="251" t="s">
        <v>216</v>
      </c>
      <c r="D109" s="3" t="s">
        <v>217</v>
      </c>
      <c r="E109" s="4" t="s">
        <v>24</v>
      </c>
      <c r="F109" s="5" t="s">
        <v>218</v>
      </c>
      <c r="G109" s="105">
        <v>189.62</v>
      </c>
      <c r="H109" s="8">
        <f t="shared" si="1"/>
        <v>136972.00700000001</v>
      </c>
    </row>
    <row r="110" spans="2:8" s="212" customFormat="1" ht="15" customHeight="1">
      <c r="B110" s="250" t="s">
        <v>219</v>
      </c>
      <c r="C110" s="250"/>
      <c r="D110" s="268" t="s">
        <v>152</v>
      </c>
      <c r="E110" s="268"/>
      <c r="F110" s="268"/>
      <c r="G110" s="268"/>
      <c r="H110" s="271">
        <f t="shared" si="1"/>
        <v>0</v>
      </c>
    </row>
    <row r="111" spans="2:8" ht="26.25" customHeight="1">
      <c r="B111" s="251" t="s">
        <v>2306</v>
      </c>
      <c r="C111" s="251" t="s">
        <v>220</v>
      </c>
      <c r="D111" s="3" t="s">
        <v>221</v>
      </c>
      <c r="E111" s="4" t="s">
        <v>112</v>
      </c>
      <c r="F111" s="5" t="s">
        <v>222</v>
      </c>
      <c r="G111" s="105">
        <v>17.71</v>
      </c>
      <c r="H111" s="8">
        <f t="shared" si="1"/>
        <v>3818.2760000000003</v>
      </c>
    </row>
    <row r="112" spans="2:8" ht="51">
      <c r="B112" s="251" t="s">
        <v>2307</v>
      </c>
      <c r="C112" s="251" t="s">
        <v>194</v>
      </c>
      <c r="D112" s="3" t="s">
        <v>195</v>
      </c>
      <c r="E112" s="4" t="s">
        <v>112</v>
      </c>
      <c r="F112" s="5" t="s">
        <v>223</v>
      </c>
      <c r="G112" s="105">
        <v>19.760000000000002</v>
      </c>
      <c r="H112" s="8">
        <f t="shared" si="1"/>
        <v>27126.528000000002</v>
      </c>
    </row>
    <row r="113" spans="2:8" ht="51">
      <c r="B113" s="251" t="s">
        <v>2308</v>
      </c>
      <c r="C113" s="251" t="s">
        <v>224</v>
      </c>
      <c r="D113" s="3" t="s">
        <v>225</v>
      </c>
      <c r="E113" s="4" t="s">
        <v>112</v>
      </c>
      <c r="F113" s="5" t="s">
        <v>226</v>
      </c>
      <c r="G113" s="105">
        <v>18.5</v>
      </c>
      <c r="H113" s="8">
        <f t="shared" si="1"/>
        <v>24725.25</v>
      </c>
    </row>
    <row r="114" spans="2:8" ht="51">
      <c r="B114" s="251" t="s">
        <v>2309</v>
      </c>
      <c r="C114" s="251" t="s">
        <v>197</v>
      </c>
      <c r="D114" s="3" t="s">
        <v>198</v>
      </c>
      <c r="E114" s="4" t="s">
        <v>112</v>
      </c>
      <c r="F114" s="5" t="s">
        <v>227</v>
      </c>
      <c r="G114" s="105">
        <v>16.510000000000002</v>
      </c>
      <c r="H114" s="8">
        <f t="shared" si="1"/>
        <v>23082.631000000001</v>
      </c>
    </row>
    <row r="115" spans="2:8" ht="51">
      <c r="B115" s="251" t="s">
        <v>2310</v>
      </c>
      <c r="C115" s="251" t="s">
        <v>200</v>
      </c>
      <c r="D115" s="3" t="s">
        <v>201</v>
      </c>
      <c r="E115" s="4" t="s">
        <v>112</v>
      </c>
      <c r="F115" s="5" t="s">
        <v>228</v>
      </c>
      <c r="G115" s="105">
        <v>13.9</v>
      </c>
      <c r="H115" s="8">
        <f t="shared" si="1"/>
        <v>11849.75</v>
      </c>
    </row>
    <row r="116" spans="2:8" ht="51">
      <c r="B116" s="251" t="s">
        <v>2311</v>
      </c>
      <c r="C116" s="251" t="s">
        <v>203</v>
      </c>
      <c r="D116" s="3" t="s">
        <v>204</v>
      </c>
      <c r="E116" s="4" t="s">
        <v>112</v>
      </c>
      <c r="F116" s="5" t="s">
        <v>229</v>
      </c>
      <c r="G116" s="105">
        <v>13.13</v>
      </c>
      <c r="H116" s="8">
        <f t="shared" si="1"/>
        <v>8304.7250000000004</v>
      </c>
    </row>
    <row r="117" spans="2:8" ht="51">
      <c r="B117" s="251" t="s">
        <v>2312</v>
      </c>
      <c r="C117" s="251" t="s">
        <v>206</v>
      </c>
      <c r="D117" s="3" t="s">
        <v>207</v>
      </c>
      <c r="E117" s="4" t="s">
        <v>112</v>
      </c>
      <c r="F117" s="5" t="s">
        <v>230</v>
      </c>
      <c r="G117" s="105">
        <v>14.64</v>
      </c>
      <c r="H117" s="8">
        <f t="shared" si="1"/>
        <v>4911.72</v>
      </c>
    </row>
    <row r="118" spans="2:8" ht="51">
      <c r="B118" s="251" t="s">
        <v>2313</v>
      </c>
      <c r="C118" s="251" t="s">
        <v>231</v>
      </c>
      <c r="D118" s="3" t="s">
        <v>232</v>
      </c>
      <c r="E118" s="4" t="s">
        <v>112</v>
      </c>
      <c r="F118" s="5" t="s">
        <v>233</v>
      </c>
      <c r="G118" s="105">
        <v>14.24</v>
      </c>
      <c r="H118" s="8">
        <f t="shared" si="1"/>
        <v>9602.0319999999992</v>
      </c>
    </row>
    <row r="119" spans="2:8" s="212" customFormat="1" ht="15" customHeight="1">
      <c r="B119" s="250" t="s">
        <v>234</v>
      </c>
      <c r="C119" s="250"/>
      <c r="D119" s="268" t="s">
        <v>172</v>
      </c>
      <c r="E119" s="268"/>
      <c r="F119" s="268"/>
      <c r="G119" s="268"/>
      <c r="H119" s="271" t="s">
        <v>1155</v>
      </c>
    </row>
    <row r="120" spans="2:8" ht="53.25" customHeight="1">
      <c r="B120" s="251" t="s">
        <v>2314</v>
      </c>
      <c r="C120" s="251" t="s">
        <v>1962</v>
      </c>
      <c r="D120" s="3" t="s">
        <v>235</v>
      </c>
      <c r="E120" s="4" t="s">
        <v>75</v>
      </c>
      <c r="F120" s="5" t="s">
        <v>236</v>
      </c>
      <c r="G120" s="105">
        <f>CPU!H141</f>
        <v>431.41066000000006</v>
      </c>
      <c r="H120" s="8">
        <f t="shared" si="1"/>
        <v>32377.370033000003</v>
      </c>
    </row>
    <row r="121" spans="2:8" s="212" customFormat="1" ht="15" customHeight="1">
      <c r="B121" s="250" t="s">
        <v>237</v>
      </c>
      <c r="C121" s="250"/>
      <c r="D121" s="268" t="s">
        <v>238</v>
      </c>
      <c r="E121" s="268"/>
      <c r="F121" s="268"/>
      <c r="G121" s="268"/>
      <c r="H121" s="271" t="s">
        <v>1155</v>
      </c>
    </row>
    <row r="122" spans="2:8" s="212" customFormat="1" ht="15" customHeight="1">
      <c r="B122" s="250" t="s">
        <v>239</v>
      </c>
      <c r="C122" s="250"/>
      <c r="D122" s="268" t="s">
        <v>187</v>
      </c>
      <c r="E122" s="268"/>
      <c r="F122" s="268"/>
      <c r="G122" s="268"/>
      <c r="H122" s="271" t="s">
        <v>1155</v>
      </c>
    </row>
    <row r="123" spans="2:8" ht="51">
      <c r="B123" s="251" t="s">
        <v>2315</v>
      </c>
      <c r="C123" s="251" t="s">
        <v>240</v>
      </c>
      <c r="D123" s="3" t="s">
        <v>241</v>
      </c>
      <c r="E123" s="4" t="s">
        <v>24</v>
      </c>
      <c r="F123" s="5" t="s">
        <v>242</v>
      </c>
      <c r="G123" s="105">
        <v>236.59</v>
      </c>
      <c r="H123" s="8">
        <f t="shared" si="1"/>
        <v>212789.046</v>
      </c>
    </row>
    <row r="124" spans="2:8" s="212" customFormat="1" ht="15" customHeight="1">
      <c r="B124" s="250" t="s">
        <v>243</v>
      </c>
      <c r="C124" s="250"/>
      <c r="D124" s="268" t="s">
        <v>152</v>
      </c>
      <c r="E124" s="268"/>
      <c r="F124" s="268"/>
      <c r="G124" s="268"/>
      <c r="H124" s="271" t="s">
        <v>1155</v>
      </c>
    </row>
    <row r="125" spans="2:8" ht="51">
      <c r="B125" s="251" t="s">
        <v>2316</v>
      </c>
      <c r="C125" s="251" t="s">
        <v>244</v>
      </c>
      <c r="D125" s="3" t="s">
        <v>245</v>
      </c>
      <c r="E125" s="4" t="s">
        <v>112</v>
      </c>
      <c r="F125" s="5" t="s">
        <v>246</v>
      </c>
      <c r="G125" s="105">
        <v>18</v>
      </c>
      <c r="H125" s="8">
        <f t="shared" si="1"/>
        <v>71735.400000000009</v>
      </c>
    </row>
    <row r="126" spans="2:8" ht="51">
      <c r="B126" s="251" t="s">
        <v>2317</v>
      </c>
      <c r="C126" s="251" t="s">
        <v>247</v>
      </c>
      <c r="D126" s="3" t="s">
        <v>248</v>
      </c>
      <c r="E126" s="4" t="s">
        <v>112</v>
      </c>
      <c r="F126" s="5" t="s">
        <v>249</v>
      </c>
      <c r="G126" s="105">
        <v>17.16</v>
      </c>
      <c r="H126" s="8">
        <f t="shared" si="1"/>
        <v>92718.911999999997</v>
      </c>
    </row>
    <row r="127" spans="2:8" s="212" customFormat="1" ht="15" customHeight="1">
      <c r="B127" s="250" t="s">
        <v>250</v>
      </c>
      <c r="C127" s="250"/>
      <c r="D127" s="268" t="s">
        <v>172</v>
      </c>
      <c r="E127" s="268"/>
      <c r="F127" s="268"/>
      <c r="G127" s="268"/>
      <c r="H127" s="269"/>
    </row>
    <row r="128" spans="2:8" ht="52.5" customHeight="1">
      <c r="B128" s="251" t="s">
        <v>2318</v>
      </c>
      <c r="C128" s="251" t="s">
        <v>1962</v>
      </c>
      <c r="D128" s="3" t="s">
        <v>235</v>
      </c>
      <c r="E128" s="4" t="s">
        <v>75</v>
      </c>
      <c r="F128" s="5" t="s">
        <v>251</v>
      </c>
      <c r="G128" s="105">
        <f>CPU!H141</f>
        <v>431.41066000000006</v>
      </c>
      <c r="H128" s="8">
        <f t="shared" si="1"/>
        <v>69478.686793000015</v>
      </c>
    </row>
    <row r="129" spans="2:8" s="212" customFormat="1" ht="15" customHeight="1">
      <c r="B129" s="250" t="s">
        <v>252</v>
      </c>
      <c r="C129" s="250"/>
      <c r="D129" s="268" t="s">
        <v>253</v>
      </c>
      <c r="E129" s="268"/>
      <c r="F129" s="268"/>
      <c r="G129" s="268"/>
      <c r="H129" s="269"/>
    </row>
    <row r="130" spans="2:8" ht="25.5">
      <c r="B130" s="251" t="s">
        <v>2319</v>
      </c>
      <c r="C130" s="251" t="s">
        <v>1963</v>
      </c>
      <c r="D130" s="3" t="s">
        <v>254</v>
      </c>
      <c r="E130" s="4" t="s">
        <v>24</v>
      </c>
      <c r="F130" s="5">
        <v>2776.67</v>
      </c>
      <c r="G130" s="105">
        <f>CPU!H150</f>
        <v>189.10905</v>
      </c>
      <c r="H130" s="8">
        <f t="shared" si="1"/>
        <v>525093.42586349999</v>
      </c>
    </row>
    <row r="131" spans="2:8" ht="25.5">
      <c r="B131" s="251" t="s">
        <v>2320</v>
      </c>
      <c r="C131" s="251" t="s">
        <v>1966</v>
      </c>
      <c r="D131" s="85" t="s">
        <v>1806</v>
      </c>
      <c r="E131" s="102" t="s">
        <v>24</v>
      </c>
      <c r="F131" s="5">
        <v>2873.33</v>
      </c>
      <c r="G131" s="105">
        <f>CPU!H159</f>
        <v>167.88215</v>
      </c>
      <c r="H131" s="8">
        <f t="shared" si="1"/>
        <v>482380.81805949996</v>
      </c>
    </row>
    <row r="132" spans="2:8" s="212" customFormat="1" ht="15" customHeight="1">
      <c r="B132" s="250" t="s">
        <v>255</v>
      </c>
      <c r="C132" s="250"/>
      <c r="D132" s="268" t="s">
        <v>256</v>
      </c>
      <c r="E132" s="268"/>
      <c r="F132" s="268"/>
      <c r="G132" s="268"/>
      <c r="H132" s="269"/>
    </row>
    <row r="133" spans="2:8" s="212" customFormat="1" ht="15" customHeight="1">
      <c r="B133" s="250" t="s">
        <v>257</v>
      </c>
      <c r="C133" s="250"/>
      <c r="D133" s="268" t="s">
        <v>187</v>
      </c>
      <c r="E133" s="268"/>
      <c r="F133" s="268"/>
      <c r="G133" s="268"/>
      <c r="H133" s="269"/>
    </row>
    <row r="134" spans="2:8" ht="51">
      <c r="B134" s="251" t="s">
        <v>2321</v>
      </c>
      <c r="C134" s="251" t="s">
        <v>258</v>
      </c>
      <c r="D134" s="3" t="s">
        <v>259</v>
      </c>
      <c r="E134" s="4" t="s">
        <v>24</v>
      </c>
      <c r="F134" s="5" t="s">
        <v>260</v>
      </c>
      <c r="G134" s="105">
        <v>35.9</v>
      </c>
      <c r="H134" s="8">
        <f t="shared" si="1"/>
        <v>90349.529999999984</v>
      </c>
    </row>
    <row r="135" spans="2:8" s="212" customFormat="1" ht="15" customHeight="1">
      <c r="B135" s="250" t="s">
        <v>261</v>
      </c>
      <c r="C135" s="250"/>
      <c r="D135" s="268" t="s">
        <v>152</v>
      </c>
      <c r="E135" s="268"/>
      <c r="F135" s="268"/>
      <c r="G135" s="268"/>
      <c r="H135" s="271" t="s">
        <v>1155</v>
      </c>
    </row>
    <row r="136" spans="2:8" ht="38.25">
      <c r="B136" s="251" t="s">
        <v>2322</v>
      </c>
      <c r="C136" s="251" t="s">
        <v>262</v>
      </c>
      <c r="D136" s="3" t="s">
        <v>263</v>
      </c>
      <c r="E136" s="4" t="s">
        <v>112</v>
      </c>
      <c r="F136" s="5" t="s">
        <v>264</v>
      </c>
      <c r="G136" s="105">
        <v>17.97</v>
      </c>
      <c r="H136" s="8">
        <f t="shared" si="1"/>
        <v>138981.777</v>
      </c>
    </row>
    <row r="137" spans="2:8" ht="38.25">
      <c r="B137" s="251" t="s">
        <v>2323</v>
      </c>
      <c r="C137" s="251" t="s">
        <v>265</v>
      </c>
      <c r="D137" s="3" t="s">
        <v>266</v>
      </c>
      <c r="E137" s="4" t="s">
        <v>112</v>
      </c>
      <c r="F137" s="5" t="s">
        <v>267</v>
      </c>
      <c r="G137" s="105">
        <v>17.170000000000002</v>
      </c>
      <c r="H137" s="8">
        <f t="shared" si="1"/>
        <v>120706.81700000002</v>
      </c>
    </row>
    <row r="138" spans="2:8" ht="38.25">
      <c r="B138" s="251" t="s">
        <v>2324</v>
      </c>
      <c r="C138" s="251" t="s">
        <v>268</v>
      </c>
      <c r="D138" s="3" t="s">
        <v>269</v>
      </c>
      <c r="E138" s="4" t="s">
        <v>112</v>
      </c>
      <c r="F138" s="5" t="s">
        <v>270</v>
      </c>
      <c r="G138" s="105">
        <v>15.51</v>
      </c>
      <c r="H138" s="8">
        <f t="shared" si="1"/>
        <v>36971.186999999998</v>
      </c>
    </row>
    <row r="139" spans="2:8" ht="38.25">
      <c r="B139" s="251" t="s">
        <v>2325</v>
      </c>
      <c r="C139" s="251" t="s">
        <v>271</v>
      </c>
      <c r="D139" s="3" t="s">
        <v>272</v>
      </c>
      <c r="E139" s="4" t="s">
        <v>112</v>
      </c>
      <c r="F139" s="5" t="s">
        <v>273</v>
      </c>
      <c r="G139" s="105">
        <v>13.18</v>
      </c>
      <c r="H139" s="8">
        <f t="shared" si="1"/>
        <v>21239.57</v>
      </c>
    </row>
    <row r="140" spans="2:8" s="212" customFormat="1" ht="15" customHeight="1">
      <c r="B140" s="250" t="s">
        <v>274</v>
      </c>
      <c r="C140" s="250"/>
      <c r="D140" s="268" t="s">
        <v>172</v>
      </c>
      <c r="E140" s="268"/>
      <c r="F140" s="268"/>
      <c r="G140" s="268"/>
      <c r="H140" s="271" t="s">
        <v>1155</v>
      </c>
    </row>
    <row r="141" spans="2:8" ht="38.25">
      <c r="B141" s="251" t="s">
        <v>2326</v>
      </c>
      <c r="C141" s="251" t="s">
        <v>275</v>
      </c>
      <c r="D141" s="3" t="s">
        <v>276</v>
      </c>
      <c r="E141" s="4" t="s">
        <v>75</v>
      </c>
      <c r="F141" s="5" t="s">
        <v>277</v>
      </c>
      <c r="G141" s="105">
        <v>445.28</v>
      </c>
      <c r="H141" s="8">
        <f t="shared" si="1"/>
        <v>122042.34239999998</v>
      </c>
    </row>
    <row r="142" spans="2:8" s="212" customFormat="1" ht="15" customHeight="1">
      <c r="B142" s="250" t="s">
        <v>278</v>
      </c>
      <c r="C142" s="250"/>
      <c r="D142" s="268" t="s">
        <v>279</v>
      </c>
      <c r="E142" s="268"/>
      <c r="F142" s="268"/>
      <c r="G142" s="268"/>
      <c r="H142" s="271" t="s">
        <v>1155</v>
      </c>
    </row>
    <row r="143" spans="2:8" s="212" customFormat="1" ht="15" customHeight="1">
      <c r="B143" s="250" t="s">
        <v>280</v>
      </c>
      <c r="C143" s="250"/>
      <c r="D143" s="268" t="s">
        <v>187</v>
      </c>
      <c r="E143" s="268"/>
      <c r="F143" s="268"/>
      <c r="G143" s="268"/>
      <c r="H143" s="271" t="s">
        <v>1155</v>
      </c>
    </row>
    <row r="144" spans="2:8" ht="51">
      <c r="B144" s="251" t="s">
        <v>2327</v>
      </c>
      <c r="C144" s="251" t="s">
        <v>258</v>
      </c>
      <c r="D144" s="3" t="s">
        <v>259</v>
      </c>
      <c r="E144" s="4" t="s">
        <v>24</v>
      </c>
      <c r="F144" s="5" t="s">
        <v>281</v>
      </c>
      <c r="G144" s="105">
        <v>35.9</v>
      </c>
      <c r="H144" s="8">
        <f t="shared" si="1"/>
        <v>7711.32</v>
      </c>
    </row>
    <row r="145" spans="2:8" ht="51">
      <c r="B145" s="251" t="s">
        <v>2328</v>
      </c>
      <c r="C145" s="251" t="s">
        <v>240</v>
      </c>
      <c r="D145" s="3" t="s">
        <v>282</v>
      </c>
      <c r="E145" s="4" t="s">
        <v>24</v>
      </c>
      <c r="F145" s="5" t="s">
        <v>283</v>
      </c>
      <c r="G145" s="105">
        <v>236.59</v>
      </c>
      <c r="H145" s="8">
        <f t="shared" si="1"/>
        <v>4045.6890000000003</v>
      </c>
    </row>
    <row r="146" spans="2:8" s="212" customFormat="1" ht="15" customHeight="1">
      <c r="B146" s="250" t="s">
        <v>284</v>
      </c>
      <c r="C146" s="250"/>
      <c r="D146" s="268" t="s">
        <v>152</v>
      </c>
      <c r="E146" s="268"/>
      <c r="F146" s="268"/>
      <c r="G146" s="268"/>
      <c r="H146" s="271" t="s">
        <v>1155</v>
      </c>
    </row>
    <row r="147" spans="2:8" ht="38.25">
      <c r="B147" s="251" t="s">
        <v>2329</v>
      </c>
      <c r="C147" s="251" t="s">
        <v>265</v>
      </c>
      <c r="D147" s="3" t="s">
        <v>266</v>
      </c>
      <c r="E147" s="4" t="s">
        <v>112</v>
      </c>
      <c r="F147" s="5" t="s">
        <v>285</v>
      </c>
      <c r="G147" s="105">
        <v>17.170000000000002</v>
      </c>
      <c r="H147" s="8">
        <f t="shared" si="1"/>
        <v>28311.613000000005</v>
      </c>
    </row>
    <row r="148" spans="2:8" ht="38.25">
      <c r="B148" s="251" t="s">
        <v>2330</v>
      </c>
      <c r="C148" s="251" t="s">
        <v>268</v>
      </c>
      <c r="D148" s="3" t="s">
        <v>269</v>
      </c>
      <c r="E148" s="4" t="s">
        <v>112</v>
      </c>
      <c r="F148" s="5" t="s">
        <v>286</v>
      </c>
      <c r="G148" s="105">
        <v>15.51</v>
      </c>
      <c r="H148" s="8">
        <f t="shared" si="1"/>
        <v>10168.356</v>
      </c>
    </row>
    <row r="149" spans="2:8" s="212" customFormat="1" ht="15" customHeight="1">
      <c r="B149" s="250" t="s">
        <v>287</v>
      </c>
      <c r="C149" s="250"/>
      <c r="D149" s="268" t="s">
        <v>172</v>
      </c>
      <c r="E149" s="268"/>
      <c r="F149" s="268"/>
      <c r="G149" s="268"/>
      <c r="H149" s="271" t="s">
        <v>1155</v>
      </c>
    </row>
    <row r="150" spans="2:8" ht="38.25">
      <c r="B150" s="251" t="s">
        <v>2331</v>
      </c>
      <c r="C150" s="251" t="s">
        <v>1967</v>
      </c>
      <c r="D150" s="3" t="s">
        <v>288</v>
      </c>
      <c r="E150" s="4" t="s">
        <v>75</v>
      </c>
      <c r="F150" s="5" t="s">
        <v>289</v>
      </c>
      <c r="G150" s="105">
        <f>CPU!H166</f>
        <v>401.64215200000001</v>
      </c>
      <c r="H150" s="8">
        <f t="shared" si="1"/>
        <v>8836.1273440000004</v>
      </c>
    </row>
    <row r="151" spans="2:8" s="212" customFormat="1" ht="15" customHeight="1">
      <c r="B151" s="250" t="s">
        <v>290</v>
      </c>
      <c r="C151" s="250"/>
      <c r="D151" s="268" t="s">
        <v>291</v>
      </c>
      <c r="E151" s="268"/>
      <c r="F151" s="268"/>
      <c r="G151" s="268"/>
      <c r="H151" s="271" t="s">
        <v>1155</v>
      </c>
    </row>
    <row r="152" spans="2:8" s="212" customFormat="1" ht="15" customHeight="1">
      <c r="B152" s="250" t="s">
        <v>292</v>
      </c>
      <c r="C152" s="250"/>
      <c r="D152" s="268" t="s">
        <v>187</v>
      </c>
      <c r="E152" s="268"/>
      <c r="F152" s="268"/>
      <c r="G152" s="268"/>
      <c r="H152" s="271" t="s">
        <v>1155</v>
      </c>
    </row>
    <row r="153" spans="2:8" ht="39.75" customHeight="1">
      <c r="B153" s="251" t="s">
        <v>2332</v>
      </c>
      <c r="C153" s="251" t="s">
        <v>2214</v>
      </c>
      <c r="D153" s="3" t="s">
        <v>293</v>
      </c>
      <c r="E153" s="4" t="s">
        <v>24</v>
      </c>
      <c r="F153" s="5" t="s">
        <v>294</v>
      </c>
      <c r="G153" s="105">
        <v>254.07</v>
      </c>
      <c r="H153" s="8">
        <f t="shared" ref="H153:H222" si="2">F153*G153</f>
        <v>31824.808199999999</v>
      </c>
    </row>
    <row r="154" spans="2:8" s="212" customFormat="1" ht="15" customHeight="1">
      <c r="B154" s="250" t="s">
        <v>295</v>
      </c>
      <c r="C154" s="250"/>
      <c r="D154" s="268" t="s">
        <v>152</v>
      </c>
      <c r="E154" s="268"/>
      <c r="F154" s="268"/>
      <c r="G154" s="268"/>
      <c r="H154" s="271" t="s">
        <v>1155</v>
      </c>
    </row>
    <row r="155" spans="2:8" ht="51">
      <c r="B155" s="251" t="s">
        <v>2333</v>
      </c>
      <c r="C155" s="251" t="s">
        <v>296</v>
      </c>
      <c r="D155" s="3" t="s">
        <v>297</v>
      </c>
      <c r="E155" s="4" t="s">
        <v>112</v>
      </c>
      <c r="F155" s="5" t="s">
        <v>298</v>
      </c>
      <c r="G155" s="105">
        <v>22.93</v>
      </c>
      <c r="H155" s="8">
        <f t="shared" si="2"/>
        <v>2900.645</v>
      </c>
    </row>
    <row r="156" spans="2:8" ht="51">
      <c r="B156" s="251" t="s">
        <v>2334</v>
      </c>
      <c r="C156" s="251" t="s">
        <v>299</v>
      </c>
      <c r="D156" s="3" t="s">
        <v>300</v>
      </c>
      <c r="E156" s="4" t="s">
        <v>112</v>
      </c>
      <c r="F156" s="5" t="s">
        <v>301</v>
      </c>
      <c r="G156" s="105">
        <v>19.62</v>
      </c>
      <c r="H156" s="8">
        <f t="shared" si="2"/>
        <v>6237.1980000000003</v>
      </c>
    </row>
    <row r="157" spans="2:8" ht="51">
      <c r="B157" s="251" t="s">
        <v>2335</v>
      </c>
      <c r="C157" s="251" t="s">
        <v>302</v>
      </c>
      <c r="D157" s="3" t="s">
        <v>303</v>
      </c>
      <c r="E157" s="4" t="s">
        <v>112</v>
      </c>
      <c r="F157" s="5" t="s">
        <v>304</v>
      </c>
      <c r="G157" s="105">
        <v>16.329999999999998</v>
      </c>
      <c r="H157" s="8">
        <f t="shared" si="2"/>
        <v>2945.9319999999998</v>
      </c>
    </row>
    <row r="158" spans="2:8" s="212" customFormat="1" ht="15" customHeight="1">
      <c r="B158" s="250" t="s">
        <v>305</v>
      </c>
      <c r="C158" s="250"/>
      <c r="D158" s="268" t="s">
        <v>172</v>
      </c>
      <c r="E158" s="268"/>
      <c r="F158" s="268"/>
      <c r="G158" s="268"/>
      <c r="H158" s="271" t="s">
        <v>1155</v>
      </c>
    </row>
    <row r="159" spans="2:8" ht="54" customHeight="1">
      <c r="B159" s="251" t="s">
        <v>2336</v>
      </c>
      <c r="C159" s="251" t="s">
        <v>1962</v>
      </c>
      <c r="D159" s="3" t="s">
        <v>235</v>
      </c>
      <c r="E159" s="4" t="s">
        <v>75</v>
      </c>
      <c r="F159" s="5" t="s">
        <v>306</v>
      </c>
      <c r="G159" s="105">
        <f>CPU!H141</f>
        <v>431.41066000000006</v>
      </c>
      <c r="H159" s="8">
        <f t="shared" si="2"/>
        <v>9706.7398500000018</v>
      </c>
    </row>
    <row r="160" spans="2:8" s="212" customFormat="1" ht="15" customHeight="1">
      <c r="B160" s="250" t="s">
        <v>307</v>
      </c>
      <c r="C160" s="250"/>
      <c r="D160" s="268" t="s">
        <v>308</v>
      </c>
      <c r="E160" s="268"/>
      <c r="F160" s="268"/>
      <c r="G160" s="268"/>
      <c r="H160" s="271" t="s">
        <v>1155</v>
      </c>
    </row>
    <row r="161" spans="2:8" ht="25.5">
      <c r="B161" s="251" t="s">
        <v>2337</v>
      </c>
      <c r="C161" s="251" t="s">
        <v>309</v>
      </c>
      <c r="D161" s="3" t="s">
        <v>310</v>
      </c>
      <c r="E161" s="4" t="s">
        <v>37</v>
      </c>
      <c r="F161" s="5" t="s">
        <v>311</v>
      </c>
      <c r="G161" s="105">
        <v>57.28</v>
      </c>
      <c r="H161" s="8">
        <f t="shared" si="2"/>
        <v>1374.72</v>
      </c>
    </row>
    <row r="162" spans="2:8" ht="27" customHeight="1">
      <c r="B162" s="251" t="s">
        <v>2338</v>
      </c>
      <c r="C162" s="251" t="s">
        <v>312</v>
      </c>
      <c r="D162" s="3" t="s">
        <v>313</v>
      </c>
      <c r="E162" s="4" t="s">
        <v>37</v>
      </c>
      <c r="F162" s="5" t="s">
        <v>314</v>
      </c>
      <c r="G162" s="105">
        <v>91.76</v>
      </c>
      <c r="H162" s="8">
        <f t="shared" si="2"/>
        <v>4404.4800000000005</v>
      </c>
    </row>
    <row r="163" spans="2:8" ht="25.5">
      <c r="B163" s="251" t="s">
        <v>2339</v>
      </c>
      <c r="C163" s="251" t="s">
        <v>315</v>
      </c>
      <c r="D163" s="3" t="s">
        <v>316</v>
      </c>
      <c r="E163" s="4" t="s">
        <v>37</v>
      </c>
      <c r="F163" s="5" t="s">
        <v>317</v>
      </c>
      <c r="G163" s="105">
        <v>117.2</v>
      </c>
      <c r="H163" s="8">
        <f t="shared" si="2"/>
        <v>28245.200000000001</v>
      </c>
    </row>
    <row r="164" spans="2:8" ht="38.25">
      <c r="B164" s="251" t="s">
        <v>2340</v>
      </c>
      <c r="C164" s="258" t="s">
        <v>1234</v>
      </c>
      <c r="D164" s="103" t="s">
        <v>1807</v>
      </c>
      <c r="E164" s="104" t="s">
        <v>24</v>
      </c>
      <c r="F164" s="105">
        <v>2797.28</v>
      </c>
      <c r="G164" s="105">
        <v>30.57</v>
      </c>
      <c r="H164" s="8">
        <f t="shared" si="2"/>
        <v>85512.849600000001</v>
      </c>
    </row>
    <row r="165" spans="2:8" s="212" customFormat="1" ht="15" customHeight="1">
      <c r="B165" s="250" t="s">
        <v>318</v>
      </c>
      <c r="C165" s="250"/>
      <c r="D165" s="268" t="s">
        <v>319</v>
      </c>
      <c r="E165" s="268"/>
      <c r="F165" s="268"/>
      <c r="G165" s="268"/>
      <c r="H165" s="271" t="s">
        <v>1155</v>
      </c>
    </row>
    <row r="166" spans="2:8" ht="25.5" customHeight="1">
      <c r="B166" s="251" t="s">
        <v>2341</v>
      </c>
      <c r="C166" s="251" t="s">
        <v>2179</v>
      </c>
      <c r="D166" s="214" t="s">
        <v>320</v>
      </c>
      <c r="E166" s="4" t="s">
        <v>24</v>
      </c>
      <c r="F166" s="5" t="s">
        <v>321</v>
      </c>
      <c r="G166" s="105">
        <f>CPU!H174</f>
        <v>18.697235000000003</v>
      </c>
      <c r="H166" s="8">
        <f t="shared" si="2"/>
        <v>1531.3035465000003</v>
      </c>
    </row>
    <row r="167" spans="2:8" ht="25.5">
      <c r="B167" s="251" t="s">
        <v>2342</v>
      </c>
      <c r="C167" s="251" t="s">
        <v>2180</v>
      </c>
      <c r="D167" s="3" t="s">
        <v>322</v>
      </c>
      <c r="E167" s="4" t="s">
        <v>15</v>
      </c>
      <c r="F167" s="5" t="s">
        <v>323</v>
      </c>
      <c r="G167" s="105">
        <f>CPU!H180</f>
        <v>136.25910000000002</v>
      </c>
      <c r="H167" s="8">
        <f t="shared" si="2"/>
        <v>16487.351100000003</v>
      </c>
    </row>
    <row r="168" spans="2:8" s="212" customFormat="1" ht="15" customHeight="1">
      <c r="B168" s="251"/>
      <c r="C168" s="251"/>
      <c r="D168" s="274" t="s">
        <v>1166</v>
      </c>
      <c r="E168" s="275"/>
      <c r="F168" s="276"/>
      <c r="G168" s="276"/>
      <c r="H168" s="277">
        <f>SUM(H97:H167)</f>
        <v>2714532.3235894991</v>
      </c>
    </row>
    <row r="169" spans="2:8" s="212" customFormat="1" ht="15" customHeight="1">
      <c r="B169" s="250" t="s">
        <v>324</v>
      </c>
      <c r="C169" s="250"/>
      <c r="D169" s="268" t="s">
        <v>325</v>
      </c>
      <c r="E169" s="268"/>
      <c r="F169" s="268"/>
      <c r="G169" s="268"/>
      <c r="H169" s="271" t="s">
        <v>1155</v>
      </c>
    </row>
    <row r="170" spans="2:8" s="212" customFormat="1" ht="15" customHeight="1">
      <c r="B170" s="250" t="s">
        <v>326</v>
      </c>
      <c r="C170" s="250"/>
      <c r="D170" s="268" t="s">
        <v>327</v>
      </c>
      <c r="E170" s="268"/>
      <c r="F170" s="268"/>
      <c r="G170" s="268"/>
      <c r="H170" s="271" t="s">
        <v>1155</v>
      </c>
    </row>
    <row r="171" spans="2:8" ht="25.5" customHeight="1">
      <c r="B171" s="251" t="s">
        <v>2343</v>
      </c>
      <c r="C171" s="251" t="s">
        <v>1970</v>
      </c>
      <c r="D171" s="214" t="s">
        <v>1163</v>
      </c>
      <c r="E171" s="4" t="s">
        <v>112</v>
      </c>
      <c r="F171" s="5">
        <v>329508.25</v>
      </c>
      <c r="G171" s="105">
        <f>CPU!H187</f>
        <v>13.928759999999999</v>
      </c>
      <c r="H171" s="8">
        <f t="shared" si="2"/>
        <v>4589641.3322699992</v>
      </c>
    </row>
    <row r="172" spans="2:8" ht="27.75" customHeight="1">
      <c r="B172" s="251" t="s">
        <v>2344</v>
      </c>
      <c r="C172" s="251" t="s">
        <v>1972</v>
      </c>
      <c r="D172" s="3" t="s">
        <v>1226</v>
      </c>
      <c r="E172" s="4" t="s">
        <v>24</v>
      </c>
      <c r="F172" s="5">
        <v>6974</v>
      </c>
      <c r="G172" s="105">
        <f>CPU!H195</f>
        <v>6.5143900000000006</v>
      </c>
      <c r="H172" s="8">
        <f t="shared" si="2"/>
        <v>45431.355860000003</v>
      </c>
    </row>
    <row r="173" spans="2:8" ht="17.25" customHeight="1">
      <c r="B173" s="251"/>
      <c r="C173" s="251"/>
      <c r="D173" s="274" t="s">
        <v>1167</v>
      </c>
      <c r="E173" s="4"/>
      <c r="F173" s="5"/>
      <c r="G173" s="5"/>
      <c r="H173" s="277">
        <f>SUM(H171:H172)</f>
        <v>4635072.6881299987</v>
      </c>
    </row>
    <row r="174" spans="2:8" s="212" customFormat="1" ht="20.100000000000001" customHeight="1">
      <c r="B174" s="253"/>
      <c r="C174" s="259"/>
      <c r="D174" s="260" t="s">
        <v>2796</v>
      </c>
      <c r="E174" s="261"/>
      <c r="F174" s="262"/>
      <c r="G174" s="262"/>
      <c r="H174" s="263">
        <f>H74+H92+H168+H173</f>
        <v>9218859.9071774017</v>
      </c>
    </row>
    <row r="175" spans="2:8" s="212" customFormat="1" ht="20.100000000000001" customHeight="1">
      <c r="B175" s="248" t="s">
        <v>328</v>
      </c>
      <c r="C175" s="248"/>
      <c r="D175" s="264" t="s">
        <v>329</v>
      </c>
      <c r="E175" s="264"/>
      <c r="F175" s="264"/>
      <c r="G175" s="264"/>
      <c r="H175" s="272" t="s">
        <v>1155</v>
      </c>
    </row>
    <row r="176" spans="2:8" s="212" customFormat="1" ht="15" customHeight="1">
      <c r="B176" s="249" t="s">
        <v>330</v>
      </c>
      <c r="C176" s="249"/>
      <c r="D176" s="266" t="s">
        <v>331</v>
      </c>
      <c r="E176" s="266"/>
      <c r="F176" s="266"/>
      <c r="G176" s="266"/>
      <c r="H176" s="273" t="s">
        <v>1155</v>
      </c>
    </row>
    <row r="177" spans="2:8" s="212" customFormat="1" ht="15" customHeight="1">
      <c r="B177" s="244" t="s">
        <v>332</v>
      </c>
      <c r="C177" s="244"/>
      <c r="D177" s="245" t="s">
        <v>333</v>
      </c>
      <c r="E177" s="245"/>
      <c r="F177" s="245"/>
      <c r="G177" s="245"/>
      <c r="H177" s="279" t="s">
        <v>1155</v>
      </c>
    </row>
    <row r="178" spans="2:8" s="212" customFormat="1" ht="15" customHeight="1">
      <c r="B178" s="250" t="s">
        <v>334</v>
      </c>
      <c r="C178" s="250"/>
      <c r="D178" s="268" t="s">
        <v>2726</v>
      </c>
      <c r="E178" s="268"/>
      <c r="F178" s="268"/>
      <c r="G178" s="268"/>
      <c r="H178" s="271" t="s">
        <v>1155</v>
      </c>
    </row>
    <row r="179" spans="2:8" ht="63.75">
      <c r="B179" s="251" t="s">
        <v>2345</v>
      </c>
      <c r="C179" s="251" t="s">
        <v>2835</v>
      </c>
      <c r="D179" s="3" t="s">
        <v>335</v>
      </c>
      <c r="E179" s="4" t="s">
        <v>24</v>
      </c>
      <c r="F179" s="5">
        <v>2575.4499999999998</v>
      </c>
      <c r="G179" s="105">
        <v>56.49</v>
      </c>
      <c r="H179" s="8">
        <f t="shared" si="2"/>
        <v>145487.17050000001</v>
      </c>
    </row>
    <row r="180" spans="2:8" ht="67.5" customHeight="1">
      <c r="B180" s="251" t="s">
        <v>2346</v>
      </c>
      <c r="C180" s="251" t="s">
        <v>2836</v>
      </c>
      <c r="D180" s="3" t="s">
        <v>336</v>
      </c>
      <c r="E180" s="4" t="s">
        <v>24</v>
      </c>
      <c r="F180" s="5" t="s">
        <v>337</v>
      </c>
      <c r="G180" s="105">
        <v>93.02</v>
      </c>
      <c r="H180" s="8">
        <f t="shared" si="2"/>
        <v>22975.94</v>
      </c>
    </row>
    <row r="181" spans="2:8" ht="25.5">
      <c r="B181" s="251" t="s">
        <v>2347</v>
      </c>
      <c r="C181" s="251" t="s">
        <v>338</v>
      </c>
      <c r="D181" s="3" t="s">
        <v>339</v>
      </c>
      <c r="E181" s="4" t="s">
        <v>15</v>
      </c>
      <c r="F181" s="5" t="s">
        <v>340</v>
      </c>
      <c r="G181" s="105">
        <v>38.4</v>
      </c>
      <c r="H181" s="8">
        <f t="shared" si="2"/>
        <v>960</v>
      </c>
    </row>
    <row r="182" spans="2:8" ht="25.5">
      <c r="B182" s="251" t="s">
        <v>2348</v>
      </c>
      <c r="C182" s="251" t="s">
        <v>341</v>
      </c>
      <c r="D182" s="3" t="s">
        <v>342</v>
      </c>
      <c r="E182" s="4" t="s">
        <v>15</v>
      </c>
      <c r="F182" s="5" t="s">
        <v>343</v>
      </c>
      <c r="G182" s="105">
        <v>25.78</v>
      </c>
      <c r="H182" s="8">
        <f t="shared" si="2"/>
        <v>32384.836000000003</v>
      </c>
    </row>
    <row r="183" spans="2:8" s="212" customFormat="1" ht="15" customHeight="1">
      <c r="B183" s="250" t="s">
        <v>344</v>
      </c>
      <c r="C183" s="250"/>
      <c r="D183" s="268" t="s">
        <v>2727</v>
      </c>
      <c r="E183" s="268"/>
      <c r="F183" s="268"/>
      <c r="G183" s="268"/>
      <c r="H183" s="271" t="s">
        <v>1155</v>
      </c>
    </row>
    <row r="184" spans="2:8" ht="39.75" customHeight="1">
      <c r="B184" s="251" t="s">
        <v>2349</v>
      </c>
      <c r="C184" s="251" t="s">
        <v>1973</v>
      </c>
      <c r="D184" s="3" t="s">
        <v>345</v>
      </c>
      <c r="E184" s="4" t="s">
        <v>24</v>
      </c>
      <c r="F184" s="5">
        <v>364.79</v>
      </c>
      <c r="G184" s="105">
        <f>CPU!H202</f>
        <v>256.78961800000002</v>
      </c>
      <c r="H184" s="8">
        <f t="shared" si="2"/>
        <v>93674.284750220017</v>
      </c>
    </row>
    <row r="185" spans="2:8" s="212" customFormat="1" ht="15" customHeight="1">
      <c r="B185" s="250" t="s">
        <v>346</v>
      </c>
      <c r="C185" s="250"/>
      <c r="D185" s="268" t="s">
        <v>2728</v>
      </c>
      <c r="E185" s="268"/>
      <c r="F185" s="268"/>
      <c r="G185" s="268"/>
      <c r="H185" s="271" t="s">
        <v>1155</v>
      </c>
    </row>
    <row r="186" spans="2:8" ht="38.25">
      <c r="B186" s="251" t="s">
        <v>2350</v>
      </c>
      <c r="C186" s="251" t="s">
        <v>2181</v>
      </c>
      <c r="D186" s="3" t="s">
        <v>347</v>
      </c>
      <c r="E186" s="4" t="s">
        <v>24</v>
      </c>
      <c r="F186" s="5">
        <v>251.29</v>
      </c>
      <c r="G186" s="105">
        <f>CPU!H211</f>
        <v>409.51754</v>
      </c>
      <c r="H186" s="8">
        <f t="shared" si="2"/>
        <v>102907.66262659999</v>
      </c>
    </row>
    <row r="187" spans="2:8" ht="38.25">
      <c r="B187" s="251" t="s">
        <v>2351</v>
      </c>
      <c r="C187" s="251" t="s">
        <v>2182</v>
      </c>
      <c r="D187" s="3" t="s">
        <v>348</v>
      </c>
      <c r="E187" s="4" t="s">
        <v>24</v>
      </c>
      <c r="F187" s="5">
        <v>616.95000000000005</v>
      </c>
      <c r="G187" s="105">
        <f>CPU!H220</f>
        <v>501.05756000000002</v>
      </c>
      <c r="H187" s="8">
        <f t="shared" si="2"/>
        <v>309127.46164200001</v>
      </c>
    </row>
    <row r="188" spans="2:8" s="212" customFormat="1" ht="15" customHeight="1">
      <c r="B188" s="250" t="s">
        <v>349</v>
      </c>
      <c r="C188" s="250"/>
      <c r="D188" s="268" t="s">
        <v>2729</v>
      </c>
      <c r="E188" s="268"/>
      <c r="F188" s="268"/>
      <c r="G188" s="268"/>
      <c r="H188" s="271" t="s">
        <v>1155</v>
      </c>
    </row>
    <row r="189" spans="2:8" ht="42" customHeight="1">
      <c r="B189" s="251" t="s">
        <v>2352</v>
      </c>
      <c r="C189" s="251" t="s">
        <v>1977</v>
      </c>
      <c r="D189" s="3" t="s">
        <v>1809</v>
      </c>
      <c r="E189" s="4" t="s">
        <v>24</v>
      </c>
      <c r="F189" s="5" t="s">
        <v>350</v>
      </c>
      <c r="G189" s="105">
        <f>CPU!H228</f>
        <v>720.386258</v>
      </c>
      <c r="H189" s="8">
        <f t="shared" si="2"/>
        <v>102655.041765</v>
      </c>
    </row>
    <row r="190" spans="2:8" ht="15" customHeight="1">
      <c r="B190" s="255"/>
      <c r="C190" s="7"/>
      <c r="D190" s="274" t="s">
        <v>1168</v>
      </c>
      <c r="E190" s="275"/>
      <c r="F190" s="276"/>
      <c r="G190" s="276"/>
      <c r="H190" s="277">
        <f>SUM(H179:H189)</f>
        <v>810172.39728381997</v>
      </c>
    </row>
    <row r="191" spans="2:8" s="212" customFormat="1" ht="15" customHeight="1">
      <c r="B191" s="250" t="s">
        <v>351</v>
      </c>
      <c r="C191" s="250"/>
      <c r="D191" s="268" t="s">
        <v>352</v>
      </c>
      <c r="E191" s="268"/>
      <c r="F191" s="268"/>
      <c r="G191" s="268"/>
      <c r="H191" s="271" t="s">
        <v>1155</v>
      </c>
    </row>
    <row r="192" spans="2:8" s="212" customFormat="1" ht="15" customHeight="1">
      <c r="B192" s="250" t="s">
        <v>353</v>
      </c>
      <c r="C192" s="250"/>
      <c r="D192" s="268" t="s">
        <v>354</v>
      </c>
      <c r="E192" s="268"/>
      <c r="F192" s="268"/>
      <c r="G192" s="268"/>
      <c r="H192" s="271" t="s">
        <v>1155</v>
      </c>
    </row>
    <row r="193" spans="2:8" ht="25.5">
      <c r="B193" s="251" t="s">
        <v>2353</v>
      </c>
      <c r="C193" s="251" t="s">
        <v>1978</v>
      </c>
      <c r="D193" s="3" t="s">
        <v>355</v>
      </c>
      <c r="E193" s="4" t="s">
        <v>24</v>
      </c>
      <c r="F193" s="5">
        <v>201.43</v>
      </c>
      <c r="G193" s="105">
        <f>CPU!H232</f>
        <v>443.30374076999999</v>
      </c>
      <c r="H193" s="8">
        <f t="shared" si="2"/>
        <v>89294.672503301103</v>
      </c>
    </row>
    <row r="194" spans="2:8" ht="29.25" customHeight="1">
      <c r="B194" s="251" t="s">
        <v>2354</v>
      </c>
      <c r="C194" s="251" t="s">
        <v>1980</v>
      </c>
      <c r="D194" s="214" t="s">
        <v>356</v>
      </c>
      <c r="E194" s="4" t="s">
        <v>24</v>
      </c>
      <c r="F194" s="5">
        <v>59.5</v>
      </c>
      <c r="G194" s="105">
        <f>CPU!H236</f>
        <v>517.69329811</v>
      </c>
      <c r="H194" s="8">
        <f t="shared" si="2"/>
        <v>30802.751237544999</v>
      </c>
    </row>
    <row r="195" spans="2:8" ht="25.5" customHeight="1">
      <c r="B195" s="251" t="s">
        <v>2355</v>
      </c>
      <c r="C195" s="251" t="s">
        <v>1982</v>
      </c>
      <c r="D195" s="215" t="s">
        <v>1810</v>
      </c>
      <c r="E195" s="106" t="s">
        <v>24</v>
      </c>
      <c r="F195" s="105">
        <v>5.73</v>
      </c>
      <c r="G195" s="105">
        <f>CPU!H244</f>
        <v>1777.5655400000001</v>
      </c>
      <c r="H195" s="8">
        <f t="shared" si="2"/>
        <v>10185.450544200001</v>
      </c>
    </row>
    <row r="196" spans="2:8" ht="25.5" customHeight="1">
      <c r="B196" s="251" t="s">
        <v>2356</v>
      </c>
      <c r="C196" s="251" t="s">
        <v>1983</v>
      </c>
      <c r="D196" s="214" t="s">
        <v>357</v>
      </c>
      <c r="E196" s="4" t="s">
        <v>37</v>
      </c>
      <c r="F196" s="5" t="s">
        <v>358</v>
      </c>
      <c r="G196" s="105">
        <f>CPU!H254</f>
        <v>147.92658</v>
      </c>
      <c r="H196" s="8">
        <f t="shared" si="2"/>
        <v>443.77974</v>
      </c>
    </row>
    <row r="197" spans="2:8" s="212" customFormat="1" ht="15" customHeight="1">
      <c r="B197" s="250" t="s">
        <v>359</v>
      </c>
      <c r="C197" s="250"/>
      <c r="D197" s="268" t="s">
        <v>360</v>
      </c>
      <c r="E197" s="268"/>
      <c r="F197" s="268"/>
      <c r="G197" s="268"/>
      <c r="H197" s="271" t="s">
        <v>1155</v>
      </c>
    </row>
    <row r="198" spans="2:8" ht="63" customHeight="1">
      <c r="B198" s="251" t="s">
        <v>2357</v>
      </c>
      <c r="C198" s="251" t="s">
        <v>1985</v>
      </c>
      <c r="D198" s="85" t="s">
        <v>1815</v>
      </c>
      <c r="E198" s="4" t="s">
        <v>24</v>
      </c>
      <c r="F198" s="105">
        <v>205.89</v>
      </c>
      <c r="G198" s="105">
        <f>CPU!H274</f>
        <v>541.341545</v>
      </c>
      <c r="H198" s="8">
        <f t="shared" si="2"/>
        <v>111456.81070004999</v>
      </c>
    </row>
    <row r="199" spans="2:8" s="212" customFormat="1" ht="15" customHeight="1">
      <c r="B199" s="250" t="s">
        <v>361</v>
      </c>
      <c r="C199" s="250"/>
      <c r="D199" s="268" t="s">
        <v>362</v>
      </c>
      <c r="E199" s="268"/>
      <c r="F199" s="268"/>
      <c r="G199" s="268"/>
      <c r="H199" s="271" t="s">
        <v>1155</v>
      </c>
    </row>
    <row r="200" spans="2:8" ht="25.5">
      <c r="B200" s="251" t="s">
        <v>2358</v>
      </c>
      <c r="C200" s="251" t="s">
        <v>363</v>
      </c>
      <c r="D200" s="3" t="s">
        <v>364</v>
      </c>
      <c r="E200" s="4" t="s">
        <v>37</v>
      </c>
      <c r="F200" s="5" t="s">
        <v>38</v>
      </c>
      <c r="G200" s="105">
        <v>1461.2</v>
      </c>
      <c r="H200" s="8">
        <f t="shared" si="2"/>
        <v>1461.2</v>
      </c>
    </row>
    <row r="201" spans="2:8" s="212" customFormat="1" ht="15" customHeight="1">
      <c r="B201" s="250" t="s">
        <v>365</v>
      </c>
      <c r="C201" s="250"/>
      <c r="D201" s="268" t="s">
        <v>366</v>
      </c>
      <c r="E201" s="268"/>
      <c r="F201" s="268"/>
      <c r="G201" s="268"/>
      <c r="H201" s="271" t="s">
        <v>1155</v>
      </c>
    </row>
    <row r="202" spans="2:8" ht="25.5" customHeight="1">
      <c r="B202" s="251" t="s">
        <v>2359</v>
      </c>
      <c r="C202" s="251" t="s">
        <v>1987</v>
      </c>
      <c r="D202" s="3" t="s">
        <v>1825</v>
      </c>
      <c r="E202" s="4" t="s">
        <v>37</v>
      </c>
      <c r="F202" s="5" t="s">
        <v>25</v>
      </c>
      <c r="G202" s="105">
        <f>CPU!H294</f>
        <v>5222.9002560199997</v>
      </c>
      <c r="H202" s="8">
        <f t="shared" si="2"/>
        <v>141018.30691253999</v>
      </c>
    </row>
    <row r="203" spans="2:8" ht="25.5">
      <c r="B203" s="251" t="s">
        <v>2360</v>
      </c>
      <c r="C203" s="251" t="s">
        <v>1988</v>
      </c>
      <c r="D203" s="3" t="s">
        <v>1826</v>
      </c>
      <c r="E203" s="4" t="s">
        <v>37</v>
      </c>
      <c r="F203" s="5" t="s">
        <v>367</v>
      </c>
      <c r="G203" s="105">
        <f>CPU!H315</f>
        <v>3376.2095017000001</v>
      </c>
      <c r="H203" s="8">
        <f t="shared" si="2"/>
        <v>6752.4190034000003</v>
      </c>
    </row>
    <row r="204" spans="2:8" ht="25.5">
      <c r="B204" s="251" t="s">
        <v>2361</v>
      </c>
      <c r="C204" s="251" t="s">
        <v>1989</v>
      </c>
      <c r="D204" s="3" t="s">
        <v>1827</v>
      </c>
      <c r="E204" s="4" t="s">
        <v>37</v>
      </c>
      <c r="F204" s="5" t="s">
        <v>38</v>
      </c>
      <c r="G204" s="105">
        <f>CPU!H335</f>
        <v>3364.0449374</v>
      </c>
      <c r="H204" s="8">
        <f t="shared" si="2"/>
        <v>3364.0449374</v>
      </c>
    </row>
    <row r="205" spans="2:8" ht="25.5">
      <c r="B205" s="251" t="s">
        <v>2362</v>
      </c>
      <c r="C205" s="251" t="s">
        <v>1990</v>
      </c>
      <c r="D205" s="3" t="s">
        <v>1828</v>
      </c>
      <c r="E205" s="4" t="s">
        <v>37</v>
      </c>
      <c r="F205" s="5" t="s">
        <v>367</v>
      </c>
      <c r="G205" s="105">
        <f>CPU!H355</f>
        <v>4089.4586820799996</v>
      </c>
      <c r="H205" s="8">
        <f t="shared" si="2"/>
        <v>8178.9173641599991</v>
      </c>
    </row>
    <row r="206" spans="2:8" ht="25.5">
      <c r="B206" s="251" t="s">
        <v>1991</v>
      </c>
      <c r="C206" s="251" t="s">
        <v>2183</v>
      </c>
      <c r="D206" s="3" t="s">
        <v>1829</v>
      </c>
      <c r="E206" s="4" t="s">
        <v>37</v>
      </c>
      <c r="F206" s="5" t="s">
        <v>367</v>
      </c>
      <c r="G206" s="105">
        <f>CPU!H375</f>
        <v>4089.4586820799996</v>
      </c>
      <c r="H206" s="8">
        <f t="shared" si="2"/>
        <v>8178.9173641599991</v>
      </c>
    </row>
    <row r="207" spans="2:8" ht="25.5">
      <c r="B207" s="251" t="s">
        <v>2363</v>
      </c>
      <c r="C207" s="251" t="s">
        <v>1992</v>
      </c>
      <c r="D207" s="3" t="s">
        <v>1830</v>
      </c>
      <c r="E207" s="4" t="s">
        <v>37</v>
      </c>
      <c r="F207" s="5">
        <v>1</v>
      </c>
      <c r="G207" s="105">
        <f>CPU!H393</f>
        <v>2548.7195175999996</v>
      </c>
      <c r="H207" s="8">
        <f t="shared" si="2"/>
        <v>2548.7195175999996</v>
      </c>
    </row>
    <row r="208" spans="2:8" ht="25.5">
      <c r="B208" s="251" t="s">
        <v>2364</v>
      </c>
      <c r="C208" s="251" t="s">
        <v>1993</v>
      </c>
      <c r="D208" s="3" t="s">
        <v>1831</v>
      </c>
      <c r="E208" s="4" t="s">
        <v>37</v>
      </c>
      <c r="F208" s="5" t="s">
        <v>38</v>
      </c>
      <c r="G208" s="105">
        <f>CPU!H413</f>
        <v>3065.7413004999999</v>
      </c>
      <c r="H208" s="8">
        <f t="shared" si="2"/>
        <v>3065.7413004999999</v>
      </c>
    </row>
    <row r="209" spans="2:8" ht="25.5">
      <c r="B209" s="251" t="s">
        <v>2365</v>
      </c>
      <c r="C209" s="251" t="s">
        <v>1994</v>
      </c>
      <c r="D209" s="3" t="s">
        <v>1832</v>
      </c>
      <c r="E209" s="4" t="s">
        <v>37</v>
      </c>
      <c r="F209" s="5">
        <v>2</v>
      </c>
      <c r="G209" s="105">
        <f>CPU!H431</f>
        <v>2547.7549854500003</v>
      </c>
      <c r="H209" s="8">
        <f t="shared" si="2"/>
        <v>5095.5099709000006</v>
      </c>
    </row>
    <row r="210" spans="2:8" ht="25.5">
      <c r="B210" s="251" t="s">
        <v>2366</v>
      </c>
      <c r="C210" s="251" t="s">
        <v>1995</v>
      </c>
      <c r="D210" s="3" t="s">
        <v>368</v>
      </c>
      <c r="E210" s="4" t="s">
        <v>37</v>
      </c>
      <c r="F210" s="5" t="s">
        <v>25</v>
      </c>
      <c r="G210" s="105">
        <f>CPU!H451</f>
        <v>3400.7399619700004</v>
      </c>
      <c r="H210" s="8">
        <f t="shared" si="2"/>
        <v>91819.978973190009</v>
      </c>
    </row>
    <row r="211" spans="2:8" ht="25.5">
      <c r="B211" s="251" t="s">
        <v>2367</v>
      </c>
      <c r="C211" s="251" t="s">
        <v>1996</v>
      </c>
      <c r="D211" s="3" t="s">
        <v>369</v>
      </c>
      <c r="E211" s="4" t="s">
        <v>37</v>
      </c>
      <c r="F211" s="5" t="s">
        <v>358</v>
      </c>
      <c r="G211" s="105">
        <f>CPU!H470</f>
        <v>3237.4454046261817</v>
      </c>
      <c r="H211" s="8">
        <f t="shared" si="2"/>
        <v>9712.3362138785451</v>
      </c>
    </row>
    <row r="212" spans="2:8" ht="25.5">
      <c r="B212" s="251" t="s">
        <v>2368</v>
      </c>
      <c r="C212" s="251" t="s">
        <v>1997</v>
      </c>
      <c r="D212" s="3" t="s">
        <v>370</v>
      </c>
      <c r="E212" s="4" t="s">
        <v>37</v>
      </c>
      <c r="F212" s="5" t="s">
        <v>38</v>
      </c>
      <c r="G212" s="105">
        <f>CPU!H488</f>
        <v>11139.622128461251</v>
      </c>
      <c r="H212" s="8">
        <f t="shared" si="2"/>
        <v>11139.622128461251</v>
      </c>
    </row>
    <row r="213" spans="2:8" ht="25.5">
      <c r="B213" s="251" t="s">
        <v>2369</v>
      </c>
      <c r="C213" s="251" t="s">
        <v>2184</v>
      </c>
      <c r="D213" s="3" t="s">
        <v>371</v>
      </c>
      <c r="E213" s="4" t="s">
        <v>37</v>
      </c>
      <c r="F213" s="5" t="s">
        <v>367</v>
      </c>
      <c r="G213" s="105">
        <f>CPU!H507</f>
        <v>1917.9845553748455</v>
      </c>
      <c r="H213" s="8">
        <f t="shared" si="2"/>
        <v>3835.969110749691</v>
      </c>
    </row>
    <row r="214" spans="2:8" ht="38.25">
      <c r="B214" s="251" t="s">
        <v>2370</v>
      </c>
      <c r="C214" s="251" t="s">
        <v>1999</v>
      </c>
      <c r="D214" s="3" t="s">
        <v>372</v>
      </c>
      <c r="E214" s="4" t="s">
        <v>37</v>
      </c>
      <c r="F214" s="5" t="s">
        <v>38</v>
      </c>
      <c r="G214" s="105">
        <f>CPU!H530</f>
        <v>12778.601423834034</v>
      </c>
      <c r="H214" s="8">
        <f t="shared" si="2"/>
        <v>12778.601423834034</v>
      </c>
    </row>
    <row r="215" spans="2:8" ht="25.5">
      <c r="B215" s="251" t="s">
        <v>2371</v>
      </c>
      <c r="C215" s="251" t="s">
        <v>2000</v>
      </c>
      <c r="D215" s="3" t="s">
        <v>373</v>
      </c>
      <c r="E215" s="4" t="s">
        <v>37</v>
      </c>
      <c r="F215" s="5">
        <v>1</v>
      </c>
      <c r="G215" s="105">
        <f>CPU!H550</f>
        <v>2750.465037363716</v>
      </c>
      <c r="H215" s="8">
        <f t="shared" si="2"/>
        <v>2750.465037363716</v>
      </c>
    </row>
    <row r="216" spans="2:8" ht="25.5">
      <c r="B216" s="251" t="s">
        <v>2372</v>
      </c>
      <c r="C216" s="251" t="s">
        <v>2001</v>
      </c>
      <c r="D216" s="3" t="s">
        <v>374</v>
      </c>
      <c r="E216" s="4" t="s">
        <v>37</v>
      </c>
      <c r="F216" s="5">
        <v>3</v>
      </c>
      <c r="G216" s="105">
        <f>CPU!H570</f>
        <v>1092.2796353690178</v>
      </c>
      <c r="H216" s="8">
        <f t="shared" si="2"/>
        <v>3276.8389061070534</v>
      </c>
    </row>
    <row r="217" spans="2:8" ht="25.5">
      <c r="B217" s="251" t="s">
        <v>2373</v>
      </c>
      <c r="C217" s="251" t="s">
        <v>2002</v>
      </c>
      <c r="D217" s="3" t="s">
        <v>375</v>
      </c>
      <c r="E217" s="4" t="s">
        <v>37</v>
      </c>
      <c r="F217" s="5">
        <v>2</v>
      </c>
      <c r="G217" s="105">
        <f>CPU!H590</f>
        <v>2723.0956943514989</v>
      </c>
      <c r="H217" s="8">
        <f t="shared" si="2"/>
        <v>5446.1913887029978</v>
      </c>
    </row>
    <row r="218" spans="2:8" ht="25.5">
      <c r="B218" s="251" t="s">
        <v>2374</v>
      </c>
      <c r="C218" s="251" t="s">
        <v>2003</v>
      </c>
      <c r="D218" s="3" t="s">
        <v>376</v>
      </c>
      <c r="E218" s="4" t="s">
        <v>37</v>
      </c>
      <c r="F218" s="5" t="s">
        <v>38</v>
      </c>
      <c r="G218" s="105">
        <f>CPU!H610</f>
        <v>2376.6806719621882</v>
      </c>
      <c r="H218" s="8">
        <f t="shared" si="2"/>
        <v>2376.6806719621882</v>
      </c>
    </row>
    <row r="219" spans="2:8" s="212" customFormat="1" ht="15" customHeight="1">
      <c r="B219" s="250" t="s">
        <v>377</v>
      </c>
      <c r="C219" s="250"/>
      <c r="D219" s="268" t="s">
        <v>378</v>
      </c>
      <c r="E219" s="268"/>
      <c r="F219" s="268"/>
      <c r="G219" s="268"/>
      <c r="H219" s="271" t="s">
        <v>1155</v>
      </c>
    </row>
    <row r="220" spans="2:8" ht="25.5" customHeight="1">
      <c r="B220" s="251" t="s">
        <v>2375</v>
      </c>
      <c r="C220" s="251" t="s">
        <v>2004</v>
      </c>
      <c r="D220" s="214" t="s">
        <v>379</v>
      </c>
      <c r="E220" s="4" t="s">
        <v>24</v>
      </c>
      <c r="F220" s="5">
        <v>34.97</v>
      </c>
      <c r="G220" s="105">
        <f>CPU!H615</f>
        <v>313.34750000000003</v>
      </c>
      <c r="H220" s="8">
        <f t="shared" si="2"/>
        <v>10957.762075000001</v>
      </c>
    </row>
    <row r="221" spans="2:8" ht="25.5" customHeight="1">
      <c r="B221" s="251" t="s">
        <v>2376</v>
      </c>
      <c r="C221" s="251" t="s">
        <v>2005</v>
      </c>
      <c r="D221" s="214" t="s">
        <v>380</v>
      </c>
      <c r="E221" s="4" t="s">
        <v>24</v>
      </c>
      <c r="F221" s="5" t="s">
        <v>381</v>
      </c>
      <c r="G221" s="105">
        <f>CPU!H624</f>
        <v>272.50878011730515</v>
      </c>
      <c r="H221" s="8">
        <f t="shared" si="2"/>
        <v>42266.111796194025</v>
      </c>
    </row>
    <row r="222" spans="2:8" ht="25.5" customHeight="1">
      <c r="B222" s="251" t="s">
        <v>2377</v>
      </c>
      <c r="C222" s="251" t="s">
        <v>2006</v>
      </c>
      <c r="D222" s="214" t="s">
        <v>382</v>
      </c>
      <c r="E222" s="4" t="s">
        <v>24</v>
      </c>
      <c r="F222" s="5" t="s">
        <v>383</v>
      </c>
      <c r="G222" s="105">
        <f>CPU!H631</f>
        <v>189.07479611400657</v>
      </c>
      <c r="H222" s="8">
        <f t="shared" si="2"/>
        <v>13982.081172630787</v>
      </c>
    </row>
    <row r="223" spans="2:8" ht="25.5">
      <c r="B223" s="251" t="s">
        <v>2378</v>
      </c>
      <c r="C223" s="251" t="s">
        <v>384</v>
      </c>
      <c r="D223" s="3" t="s">
        <v>385</v>
      </c>
      <c r="E223" s="4" t="s">
        <v>15</v>
      </c>
      <c r="F223" s="5">
        <v>473.03</v>
      </c>
      <c r="G223" s="105">
        <v>454.96</v>
      </c>
      <c r="H223" s="8">
        <f t="shared" ref="H223:H294" si="3">F223*G223</f>
        <v>215209.72879999998</v>
      </c>
    </row>
    <row r="224" spans="2:8" ht="25.5">
      <c r="B224" s="251" t="s">
        <v>2379</v>
      </c>
      <c r="C224" s="251" t="s">
        <v>2007</v>
      </c>
      <c r="D224" s="3" t="s">
        <v>386</v>
      </c>
      <c r="E224" s="4" t="s">
        <v>15</v>
      </c>
      <c r="F224" s="5">
        <v>7</v>
      </c>
      <c r="G224" s="105">
        <f>CPU!H638</f>
        <v>424.32206075757006</v>
      </c>
      <c r="H224" s="8">
        <f t="shared" si="3"/>
        <v>2970.2544253029905</v>
      </c>
    </row>
    <row r="225" spans="2:8" ht="63.75">
      <c r="B225" s="251" t="s">
        <v>2380</v>
      </c>
      <c r="C225" s="251" t="s">
        <v>387</v>
      </c>
      <c r="D225" s="3" t="s">
        <v>388</v>
      </c>
      <c r="E225" s="4" t="s">
        <v>15</v>
      </c>
      <c r="F225" s="5">
        <v>553.83000000000004</v>
      </c>
      <c r="G225" s="105">
        <v>658.72</v>
      </c>
      <c r="H225" s="8">
        <f t="shared" si="3"/>
        <v>364818.89760000003</v>
      </c>
    </row>
    <row r="226" spans="2:8" s="212" customFormat="1" ht="15" customHeight="1">
      <c r="B226" s="250" t="s">
        <v>389</v>
      </c>
      <c r="C226" s="250"/>
      <c r="D226" s="268" t="s">
        <v>390</v>
      </c>
      <c r="E226" s="268"/>
      <c r="F226" s="268"/>
      <c r="G226" s="268"/>
      <c r="H226" s="271" t="s">
        <v>1155</v>
      </c>
    </row>
    <row r="227" spans="2:8" ht="64.5" customHeight="1">
      <c r="B227" s="256" t="s">
        <v>2381</v>
      </c>
      <c r="C227" s="251" t="s">
        <v>2008</v>
      </c>
      <c r="D227" s="7" t="s">
        <v>1833</v>
      </c>
      <c r="E227" s="4" t="s">
        <v>24</v>
      </c>
      <c r="F227" s="105">
        <v>586.95000000000005</v>
      </c>
      <c r="G227" s="105">
        <f>CPU!H650</f>
        <v>381.18920000000003</v>
      </c>
      <c r="H227" s="8">
        <f t="shared" si="3"/>
        <v>223739.00094000003</v>
      </c>
    </row>
    <row r="228" spans="2:8" ht="63.75">
      <c r="B228" s="256" t="s">
        <v>2382</v>
      </c>
      <c r="C228" s="251" t="s">
        <v>2011</v>
      </c>
      <c r="D228" s="7" t="s">
        <v>1834</v>
      </c>
      <c r="E228" s="4" t="s">
        <v>24</v>
      </c>
      <c r="F228" s="105">
        <v>193.78</v>
      </c>
      <c r="G228" s="105">
        <f>CPU!H664</f>
        <v>329.6728187999999</v>
      </c>
      <c r="H228" s="8">
        <f t="shared" si="3"/>
        <v>63883.998827063981</v>
      </c>
    </row>
    <row r="229" spans="2:8" ht="15" customHeight="1">
      <c r="B229" s="251"/>
      <c r="C229" s="7"/>
      <c r="D229" s="274" t="s">
        <v>1169</v>
      </c>
      <c r="E229" s="275"/>
      <c r="F229" s="276"/>
      <c r="G229" s="276"/>
      <c r="H229" s="277">
        <f>SUM(H193:H228)</f>
        <v>1502811.7605861968</v>
      </c>
    </row>
    <row r="230" spans="2:8" s="212" customFormat="1" ht="15" customHeight="1">
      <c r="B230" s="250" t="s">
        <v>391</v>
      </c>
      <c r="C230" s="250"/>
      <c r="D230" s="268" t="s">
        <v>392</v>
      </c>
      <c r="E230" s="268"/>
      <c r="F230" s="268"/>
      <c r="G230" s="268"/>
      <c r="H230" s="271" t="s">
        <v>1155</v>
      </c>
    </row>
    <row r="231" spans="2:8" s="212" customFormat="1" ht="15" customHeight="1">
      <c r="B231" s="250" t="s">
        <v>393</v>
      </c>
      <c r="C231" s="250"/>
      <c r="D231" s="268" t="s">
        <v>394</v>
      </c>
      <c r="E231" s="268"/>
      <c r="F231" s="268"/>
      <c r="G231" s="268"/>
      <c r="H231" s="271" t="s">
        <v>1155</v>
      </c>
    </row>
    <row r="232" spans="2:8" ht="25.5" customHeight="1">
      <c r="B232" s="256" t="s">
        <v>2383</v>
      </c>
      <c r="C232" s="251" t="s">
        <v>2012</v>
      </c>
      <c r="D232" s="214" t="s">
        <v>396</v>
      </c>
      <c r="E232" s="4" t="s">
        <v>24</v>
      </c>
      <c r="F232" s="5" t="s">
        <v>397</v>
      </c>
      <c r="G232" s="105">
        <f>CPU!H668</f>
        <v>209.06688212799997</v>
      </c>
      <c r="H232" s="8">
        <f t="shared" si="3"/>
        <v>47725.787852179834</v>
      </c>
    </row>
    <row r="233" spans="2:8" ht="25.5" customHeight="1">
      <c r="B233" s="256" t="s">
        <v>2384</v>
      </c>
      <c r="C233" s="251" t="s">
        <v>2013</v>
      </c>
      <c r="D233" s="214" t="s">
        <v>398</v>
      </c>
      <c r="E233" s="4" t="s">
        <v>24</v>
      </c>
      <c r="F233" s="5" t="s">
        <v>399</v>
      </c>
      <c r="G233" s="105">
        <f>CPU!H672</f>
        <v>236.27404339199998</v>
      </c>
      <c r="H233" s="8">
        <f t="shared" si="3"/>
        <v>75567.527298063345</v>
      </c>
    </row>
    <row r="234" spans="2:8" ht="27" customHeight="1">
      <c r="B234" s="256" t="s">
        <v>2385</v>
      </c>
      <c r="C234" s="251" t="s">
        <v>2185</v>
      </c>
      <c r="D234" s="3" t="s">
        <v>400</v>
      </c>
      <c r="E234" s="4" t="s">
        <v>24</v>
      </c>
      <c r="F234" s="5" t="s">
        <v>402</v>
      </c>
      <c r="G234" s="105">
        <f>CPU!H676</f>
        <v>1788.7520550000002</v>
      </c>
      <c r="H234" s="8">
        <f t="shared" si="3"/>
        <v>86933.349873000014</v>
      </c>
    </row>
    <row r="235" spans="2:8" ht="15" customHeight="1">
      <c r="B235" s="256"/>
      <c r="C235" s="251"/>
      <c r="D235" s="6" t="s">
        <v>1170</v>
      </c>
      <c r="E235" s="4"/>
      <c r="F235" s="5"/>
      <c r="G235" s="5"/>
      <c r="H235" s="8">
        <f>SUM(H232:H234)</f>
        <v>210226.66502324317</v>
      </c>
    </row>
    <row r="236" spans="2:8" s="212" customFormat="1" ht="15" customHeight="1">
      <c r="B236" s="250" t="s">
        <v>403</v>
      </c>
      <c r="C236" s="250"/>
      <c r="D236" s="268" t="s">
        <v>404</v>
      </c>
      <c r="E236" s="268"/>
      <c r="F236" s="268"/>
      <c r="G236" s="268"/>
      <c r="H236" s="271" t="s">
        <v>1155</v>
      </c>
    </row>
    <row r="237" spans="2:8" s="212" customFormat="1" ht="15" customHeight="1">
      <c r="B237" s="250" t="s">
        <v>405</v>
      </c>
      <c r="C237" s="250"/>
      <c r="D237" s="268" t="s">
        <v>406</v>
      </c>
      <c r="E237" s="268"/>
      <c r="F237" s="268"/>
      <c r="G237" s="268"/>
      <c r="H237" s="271" t="s">
        <v>1155</v>
      </c>
    </row>
    <row r="238" spans="2:8" ht="38.25">
      <c r="B238" s="256" t="s">
        <v>2386</v>
      </c>
      <c r="C238" s="251" t="s">
        <v>2186</v>
      </c>
      <c r="D238" s="3" t="s">
        <v>407</v>
      </c>
      <c r="E238" s="4" t="s">
        <v>24</v>
      </c>
      <c r="F238" s="5" t="s">
        <v>408</v>
      </c>
      <c r="G238" s="105">
        <f>CPU!H683</f>
        <v>153.46999999999997</v>
      </c>
      <c r="H238" s="8">
        <f t="shared" si="3"/>
        <v>93845.37029999998</v>
      </c>
    </row>
    <row r="239" spans="2:8" ht="38.25">
      <c r="B239" s="256" t="s">
        <v>2387</v>
      </c>
      <c r="C239" s="251" t="s">
        <v>2187</v>
      </c>
      <c r="D239" s="3" t="s">
        <v>409</v>
      </c>
      <c r="E239" s="4" t="s">
        <v>24</v>
      </c>
      <c r="F239" s="5" t="s">
        <v>410</v>
      </c>
      <c r="G239" s="105">
        <f>CPU!H690</f>
        <v>191.39999999999995</v>
      </c>
      <c r="H239" s="8">
        <f t="shared" si="3"/>
        <v>169054.04999999996</v>
      </c>
    </row>
    <row r="240" spans="2:8" ht="38.25">
      <c r="B240" s="256" t="s">
        <v>2388</v>
      </c>
      <c r="C240" s="251" t="s">
        <v>2188</v>
      </c>
      <c r="D240" s="3" t="s">
        <v>411</v>
      </c>
      <c r="E240" s="4" t="s">
        <v>24</v>
      </c>
      <c r="F240" s="5" t="s">
        <v>397</v>
      </c>
      <c r="G240" s="105">
        <f>CPU!H697</f>
        <v>239.75999999999996</v>
      </c>
      <c r="H240" s="8">
        <f t="shared" si="3"/>
        <v>54732.412799999991</v>
      </c>
    </row>
    <row r="241" spans="2:8" s="212" customFormat="1" ht="15" customHeight="1">
      <c r="B241" s="250" t="s">
        <v>412</v>
      </c>
      <c r="C241" s="250"/>
      <c r="D241" s="268" t="s">
        <v>413</v>
      </c>
      <c r="E241" s="268"/>
      <c r="F241" s="268"/>
      <c r="G241" s="268"/>
      <c r="H241" s="271" t="s">
        <v>1155</v>
      </c>
    </row>
    <row r="242" spans="2:8" ht="27" customHeight="1">
      <c r="B242" s="256" t="s">
        <v>2389</v>
      </c>
      <c r="C242" s="251" t="s">
        <v>2019</v>
      </c>
      <c r="D242" s="3" t="s">
        <v>414</v>
      </c>
      <c r="E242" s="4" t="s">
        <v>24</v>
      </c>
      <c r="F242" s="5" t="s">
        <v>415</v>
      </c>
      <c r="G242" s="105">
        <f>CPU!H706</f>
        <v>444.36498466250998</v>
      </c>
      <c r="H242" s="8">
        <f t="shared" si="3"/>
        <v>23382.485492941276</v>
      </c>
    </row>
    <row r="243" spans="2:8" ht="15" customHeight="1">
      <c r="B243" s="256"/>
      <c r="C243" s="251"/>
      <c r="D243" s="6" t="s">
        <v>1171</v>
      </c>
      <c r="E243" s="4"/>
      <c r="F243" s="5"/>
      <c r="G243" s="5"/>
      <c r="H243" s="8">
        <f>SUM(H238:H242)</f>
        <v>341014.31859294121</v>
      </c>
    </row>
    <row r="244" spans="2:8" s="212" customFormat="1" ht="15" customHeight="1">
      <c r="B244" s="250" t="s">
        <v>416</v>
      </c>
      <c r="C244" s="250"/>
      <c r="D244" s="268" t="s">
        <v>417</v>
      </c>
      <c r="E244" s="268"/>
      <c r="F244" s="268"/>
      <c r="G244" s="268"/>
      <c r="H244" s="271" t="s">
        <v>1155</v>
      </c>
    </row>
    <row r="245" spans="2:8" s="212" customFormat="1" ht="15" customHeight="1">
      <c r="B245" s="250" t="s">
        <v>418</v>
      </c>
      <c r="C245" s="250"/>
      <c r="D245" s="268" t="s">
        <v>419</v>
      </c>
      <c r="E245" s="268"/>
      <c r="F245" s="268"/>
      <c r="G245" s="268"/>
      <c r="H245" s="271" t="s">
        <v>1155</v>
      </c>
    </row>
    <row r="246" spans="2:8" ht="27.75" customHeight="1">
      <c r="B246" s="256" t="s">
        <v>2390</v>
      </c>
      <c r="C246" s="251" t="s">
        <v>1224</v>
      </c>
      <c r="D246" s="85" t="s">
        <v>1225</v>
      </c>
      <c r="E246" s="4" t="s">
        <v>24</v>
      </c>
      <c r="F246" s="5" t="s">
        <v>420</v>
      </c>
      <c r="G246" s="105">
        <v>96.46</v>
      </c>
      <c r="H246" s="8">
        <f t="shared" si="3"/>
        <v>78566.67</v>
      </c>
    </row>
    <row r="247" spans="2:8" s="212" customFormat="1" ht="15" customHeight="1">
      <c r="B247" s="250" t="s">
        <v>1838</v>
      </c>
      <c r="C247" s="250"/>
      <c r="D247" s="268" t="s">
        <v>1839</v>
      </c>
      <c r="E247" s="268"/>
      <c r="F247" s="268"/>
      <c r="G247" s="268"/>
      <c r="H247" s="271" t="s">
        <v>1155</v>
      </c>
    </row>
    <row r="248" spans="2:8" ht="25.5" customHeight="1">
      <c r="B248" s="256" t="s">
        <v>2391</v>
      </c>
      <c r="C248" s="251" t="s">
        <v>2020</v>
      </c>
      <c r="D248" s="214" t="s">
        <v>1840</v>
      </c>
      <c r="E248" s="4" t="s">
        <v>24</v>
      </c>
      <c r="F248" s="5" t="s">
        <v>1841</v>
      </c>
      <c r="G248" s="105">
        <f>CPU!H712</f>
        <v>385.23500000000001</v>
      </c>
      <c r="H248" s="8">
        <f t="shared" ref="H248" si="4">F248*G248</f>
        <v>103050.3625</v>
      </c>
    </row>
    <row r="249" spans="2:8" ht="15" customHeight="1">
      <c r="B249" s="256"/>
      <c r="C249" s="7"/>
      <c r="D249" s="274" t="s">
        <v>1172</v>
      </c>
      <c r="E249" s="275"/>
      <c r="F249" s="276"/>
      <c r="G249" s="276"/>
      <c r="H249" s="277">
        <f>SUM(H246:H248)</f>
        <v>181617.0325</v>
      </c>
    </row>
    <row r="250" spans="2:8" s="212" customFormat="1" ht="15" customHeight="1">
      <c r="B250" s="250" t="s">
        <v>421</v>
      </c>
      <c r="C250" s="250"/>
      <c r="D250" s="268" t="s">
        <v>422</v>
      </c>
      <c r="E250" s="268"/>
      <c r="F250" s="268"/>
      <c r="G250" s="268"/>
      <c r="H250" s="271" t="s">
        <v>1155</v>
      </c>
    </row>
    <row r="251" spans="2:8" s="212" customFormat="1" ht="15" customHeight="1">
      <c r="B251" s="250" t="s">
        <v>423</v>
      </c>
      <c r="C251" s="250"/>
      <c r="D251" s="268" t="s">
        <v>424</v>
      </c>
      <c r="E251" s="268"/>
      <c r="F251" s="268"/>
      <c r="G251" s="268"/>
      <c r="H251" s="271" t="s">
        <v>1155</v>
      </c>
    </row>
    <row r="252" spans="2:8" ht="38.25">
      <c r="B252" s="256" t="s">
        <v>2392</v>
      </c>
      <c r="C252" s="258" t="s">
        <v>2021</v>
      </c>
      <c r="D252" s="3" t="s">
        <v>425</v>
      </c>
      <c r="E252" s="4" t="s">
        <v>24</v>
      </c>
      <c r="F252" s="5">
        <v>7370.29</v>
      </c>
      <c r="G252" s="105">
        <f>CPU!H720</f>
        <v>122.441</v>
      </c>
      <c r="H252" s="8">
        <f t="shared" si="3"/>
        <v>902425.67789000005</v>
      </c>
    </row>
    <row r="253" spans="2:8" ht="51">
      <c r="B253" s="256" t="s">
        <v>2393</v>
      </c>
      <c r="C253" s="258" t="s">
        <v>426</v>
      </c>
      <c r="D253" s="3" t="s">
        <v>427</v>
      </c>
      <c r="E253" s="4" t="s">
        <v>24</v>
      </c>
      <c r="F253" s="5">
        <v>7370.29</v>
      </c>
      <c r="G253" s="105">
        <v>35.78</v>
      </c>
      <c r="H253" s="8">
        <f t="shared" si="3"/>
        <v>263708.97620000003</v>
      </c>
    </row>
    <row r="254" spans="2:8" ht="25.5">
      <c r="B254" s="256" t="s">
        <v>2394</v>
      </c>
      <c r="C254" s="280" t="s">
        <v>2215</v>
      </c>
      <c r="D254" s="85" t="s">
        <v>2216</v>
      </c>
      <c r="E254" s="104" t="s">
        <v>24</v>
      </c>
      <c r="F254" s="105">
        <v>420</v>
      </c>
      <c r="G254" s="105">
        <v>69.150000000000006</v>
      </c>
      <c r="H254" s="8">
        <f t="shared" si="3"/>
        <v>29043.000000000004</v>
      </c>
    </row>
    <row r="255" spans="2:8" s="212" customFormat="1" ht="15" customHeight="1">
      <c r="B255" s="256"/>
      <c r="C255" s="258"/>
      <c r="D255" s="274" t="s">
        <v>1173</v>
      </c>
      <c r="E255" s="275"/>
      <c r="F255" s="276"/>
      <c r="G255" s="276"/>
      <c r="H255" s="277">
        <f>SUM(H252:H254)</f>
        <v>1195177.6540900001</v>
      </c>
    </row>
    <row r="256" spans="2:8" s="212" customFormat="1" ht="15" customHeight="1">
      <c r="B256" s="250" t="s">
        <v>428</v>
      </c>
      <c r="C256" s="250"/>
      <c r="D256" s="268" t="s">
        <v>429</v>
      </c>
      <c r="E256" s="268"/>
      <c r="F256" s="268"/>
      <c r="G256" s="268"/>
      <c r="H256" s="271" t="s">
        <v>1155</v>
      </c>
    </row>
    <row r="257" spans="2:8" ht="38.25">
      <c r="B257" s="256" t="s">
        <v>2395</v>
      </c>
      <c r="C257" s="258" t="s">
        <v>2022</v>
      </c>
      <c r="D257" s="3" t="s">
        <v>430</v>
      </c>
      <c r="E257" s="4" t="s">
        <v>24</v>
      </c>
      <c r="F257" s="5">
        <v>1968.84</v>
      </c>
      <c r="G257" s="105">
        <f>CPU!H728</f>
        <v>86.462198158351313</v>
      </c>
      <c r="H257" s="8">
        <f t="shared" si="3"/>
        <v>170230.23422208839</v>
      </c>
    </row>
    <row r="258" spans="2:8" ht="76.5">
      <c r="B258" s="256" t="s">
        <v>2396</v>
      </c>
      <c r="C258" s="258" t="s">
        <v>431</v>
      </c>
      <c r="D258" s="3" t="s">
        <v>432</v>
      </c>
      <c r="E258" s="4" t="s">
        <v>24</v>
      </c>
      <c r="F258" s="5">
        <v>3751.87</v>
      </c>
      <c r="G258" s="105">
        <v>34.119999999999997</v>
      </c>
      <c r="H258" s="8">
        <f t="shared" si="3"/>
        <v>128013.80439999999</v>
      </c>
    </row>
    <row r="259" spans="2:8" ht="52.5" customHeight="1">
      <c r="B259" s="256" t="s">
        <v>2397</v>
      </c>
      <c r="C259" s="258" t="s">
        <v>433</v>
      </c>
      <c r="D259" s="3" t="s">
        <v>434</v>
      </c>
      <c r="E259" s="4" t="s">
        <v>24</v>
      </c>
      <c r="F259" s="5" t="s">
        <v>435</v>
      </c>
      <c r="G259" s="105">
        <v>4.9800000000000004</v>
      </c>
      <c r="H259" s="8">
        <f t="shared" si="3"/>
        <v>7652.268</v>
      </c>
    </row>
    <row r="260" spans="2:8" ht="51">
      <c r="B260" s="256" t="s">
        <v>2398</v>
      </c>
      <c r="C260" s="258" t="s">
        <v>436</v>
      </c>
      <c r="D260" s="3" t="s">
        <v>437</v>
      </c>
      <c r="E260" s="4" t="s">
        <v>24</v>
      </c>
      <c r="F260" s="5">
        <v>4730.96</v>
      </c>
      <c r="G260" s="105">
        <v>3.9</v>
      </c>
      <c r="H260" s="8">
        <f t="shared" si="3"/>
        <v>18450.743999999999</v>
      </c>
    </row>
    <row r="261" spans="2:8" ht="27" customHeight="1">
      <c r="B261" s="256" t="s">
        <v>2399</v>
      </c>
      <c r="C261" s="280" t="s">
        <v>1222</v>
      </c>
      <c r="D261" s="85" t="s">
        <v>1223</v>
      </c>
      <c r="E261" s="4" t="s">
        <v>24</v>
      </c>
      <c r="F261" s="5">
        <v>1053.45</v>
      </c>
      <c r="G261" s="105">
        <v>60.6</v>
      </c>
      <c r="H261" s="8">
        <f t="shared" si="3"/>
        <v>63839.070000000007</v>
      </c>
    </row>
    <row r="262" spans="2:8" ht="63.75">
      <c r="B262" s="256" t="s">
        <v>2400</v>
      </c>
      <c r="C262" s="258" t="s">
        <v>438</v>
      </c>
      <c r="D262" s="3" t="s">
        <v>439</v>
      </c>
      <c r="E262" s="4" t="s">
        <v>24</v>
      </c>
      <c r="F262" s="5">
        <v>2515.69</v>
      </c>
      <c r="G262" s="105">
        <v>36.11</v>
      </c>
      <c r="H262" s="8">
        <f t="shared" si="3"/>
        <v>90841.565900000001</v>
      </c>
    </row>
    <row r="263" spans="2:8" s="212" customFormat="1" ht="15" customHeight="1">
      <c r="B263" s="283"/>
      <c r="C263" s="217"/>
      <c r="D263" s="274" t="s">
        <v>1174</v>
      </c>
      <c r="E263" s="275"/>
      <c r="F263" s="276"/>
      <c r="G263" s="276"/>
      <c r="H263" s="277">
        <f>SUM(H257:H262)</f>
        <v>479027.68652208836</v>
      </c>
    </row>
    <row r="264" spans="2:8" ht="15" customHeight="1">
      <c r="B264" s="250" t="s">
        <v>441</v>
      </c>
      <c r="C264" s="250"/>
      <c r="D264" s="281" t="s">
        <v>442</v>
      </c>
      <c r="E264" s="281"/>
      <c r="F264" s="281"/>
      <c r="G264" s="281"/>
      <c r="H264" s="282" t="s">
        <v>1155</v>
      </c>
    </row>
    <row r="265" spans="2:8" ht="25.5">
      <c r="B265" s="256" t="s">
        <v>2401</v>
      </c>
      <c r="C265" s="251" t="s">
        <v>443</v>
      </c>
      <c r="D265" s="3" t="s">
        <v>444</v>
      </c>
      <c r="E265" s="4" t="s">
        <v>24</v>
      </c>
      <c r="F265" s="5" t="s">
        <v>445</v>
      </c>
      <c r="G265" s="105">
        <v>64.38</v>
      </c>
      <c r="H265" s="8">
        <f t="shared" si="3"/>
        <v>172436.6796</v>
      </c>
    </row>
    <row r="266" spans="2:8" ht="25.5">
      <c r="B266" s="256" t="s">
        <v>2402</v>
      </c>
      <c r="C266" s="251" t="s">
        <v>446</v>
      </c>
      <c r="D266" s="3" t="s">
        <v>447</v>
      </c>
      <c r="E266" s="4" t="s">
        <v>15</v>
      </c>
      <c r="F266" s="5" t="s">
        <v>448</v>
      </c>
      <c r="G266" s="105">
        <v>11.71</v>
      </c>
      <c r="H266" s="8">
        <f t="shared" si="3"/>
        <v>14114.063</v>
      </c>
    </row>
    <row r="267" spans="2:8" s="212" customFormat="1" ht="15" customHeight="1">
      <c r="B267" s="256"/>
      <c r="C267" s="251"/>
      <c r="D267" s="274" t="s">
        <v>1175</v>
      </c>
      <c r="E267" s="275"/>
      <c r="F267" s="276"/>
      <c r="G267" s="276"/>
      <c r="H267" s="277">
        <f>SUM(H265:H266)</f>
        <v>186550.7426</v>
      </c>
    </row>
    <row r="268" spans="2:8" ht="15" customHeight="1">
      <c r="B268" s="250" t="s">
        <v>449</v>
      </c>
      <c r="C268" s="250"/>
      <c r="D268" s="281" t="s">
        <v>450</v>
      </c>
      <c r="E268" s="281"/>
      <c r="F268" s="281"/>
      <c r="G268" s="281"/>
      <c r="H268" s="282" t="s">
        <v>1155</v>
      </c>
    </row>
    <row r="269" spans="2:8" ht="25.5">
      <c r="B269" s="256" t="s">
        <v>2403</v>
      </c>
      <c r="C269" s="251" t="s">
        <v>2023</v>
      </c>
      <c r="D269" s="3" t="s">
        <v>451</v>
      </c>
      <c r="E269" s="4" t="s">
        <v>24</v>
      </c>
      <c r="F269" s="5">
        <v>5164.4799999999996</v>
      </c>
      <c r="G269" s="105">
        <f>CPU!H734</f>
        <v>21.9949674</v>
      </c>
      <c r="H269" s="8">
        <f t="shared" si="3"/>
        <v>113592.56923795199</v>
      </c>
    </row>
    <row r="270" spans="2:8" ht="25.5">
      <c r="B270" s="256" t="s">
        <v>2404</v>
      </c>
      <c r="C270" s="251" t="s">
        <v>2189</v>
      </c>
      <c r="D270" s="3" t="s">
        <v>452</v>
      </c>
      <c r="E270" s="4" t="s">
        <v>24</v>
      </c>
      <c r="F270" s="5" t="s">
        <v>453</v>
      </c>
      <c r="G270" s="105">
        <f>CPU!H741</f>
        <v>38.961640000000003</v>
      </c>
      <c r="H270" s="8">
        <f t="shared" si="3"/>
        <v>16363.888800000001</v>
      </c>
    </row>
    <row r="271" spans="2:8" ht="25.5">
      <c r="B271" s="256" t="s">
        <v>2405</v>
      </c>
      <c r="C271" s="251" t="s">
        <v>2217</v>
      </c>
      <c r="D271" s="214" t="s">
        <v>2218</v>
      </c>
      <c r="E271" s="4" t="s">
        <v>24</v>
      </c>
      <c r="F271" s="5" t="s">
        <v>454</v>
      </c>
      <c r="G271" s="105">
        <v>17.21</v>
      </c>
      <c r="H271" s="8">
        <f t="shared" si="3"/>
        <v>4004.5949000000001</v>
      </c>
    </row>
    <row r="272" spans="2:8" ht="38.25">
      <c r="B272" s="256" t="s">
        <v>2406</v>
      </c>
      <c r="C272" s="251" t="s">
        <v>2837</v>
      </c>
      <c r="D272" s="3" t="s">
        <v>455</v>
      </c>
      <c r="E272" s="4" t="s">
        <v>456</v>
      </c>
      <c r="F272" s="5" t="s">
        <v>457</v>
      </c>
      <c r="G272" s="105">
        <v>9.35</v>
      </c>
      <c r="H272" s="8">
        <f t="shared" si="3"/>
        <v>3534.2999999999997</v>
      </c>
    </row>
    <row r="273" spans="2:8" ht="25.5">
      <c r="B273" s="256" t="s">
        <v>2407</v>
      </c>
      <c r="C273" s="251" t="s">
        <v>458</v>
      </c>
      <c r="D273" s="3" t="s">
        <v>459</v>
      </c>
      <c r="E273" s="4" t="s">
        <v>24</v>
      </c>
      <c r="F273" s="5" t="s">
        <v>460</v>
      </c>
      <c r="G273" s="105">
        <v>15.82</v>
      </c>
      <c r="H273" s="8">
        <f t="shared" si="3"/>
        <v>45833.5458</v>
      </c>
    </row>
    <row r="274" spans="2:8" ht="25.5">
      <c r="B274" s="256" t="s">
        <v>2408</v>
      </c>
      <c r="C274" s="251" t="s">
        <v>461</v>
      </c>
      <c r="D274" s="3" t="s">
        <v>462</v>
      </c>
      <c r="E274" s="4" t="s">
        <v>24</v>
      </c>
      <c r="F274" s="5">
        <v>2659.12</v>
      </c>
      <c r="G274" s="105">
        <v>13.96</v>
      </c>
      <c r="H274" s="8">
        <f t="shared" si="3"/>
        <v>37121.315199999997</v>
      </c>
    </row>
    <row r="275" spans="2:8" ht="25.5">
      <c r="B275" s="256" t="s">
        <v>2409</v>
      </c>
      <c r="C275" s="251" t="s">
        <v>463</v>
      </c>
      <c r="D275" s="3" t="s">
        <v>464</v>
      </c>
      <c r="E275" s="4" t="s">
        <v>24</v>
      </c>
      <c r="F275" s="5" t="s">
        <v>460</v>
      </c>
      <c r="G275" s="105">
        <v>20.67</v>
      </c>
      <c r="H275" s="8">
        <f t="shared" si="3"/>
        <v>59884.917300000008</v>
      </c>
    </row>
    <row r="276" spans="2:8" ht="27" customHeight="1">
      <c r="B276" s="256" t="s">
        <v>2410</v>
      </c>
      <c r="C276" s="251" t="s">
        <v>2190</v>
      </c>
      <c r="D276" s="3" t="s">
        <v>1843</v>
      </c>
      <c r="E276" s="4" t="s">
        <v>24</v>
      </c>
      <c r="F276" s="5">
        <v>2521.4299999999998</v>
      </c>
      <c r="G276" s="105">
        <f>CPU!H750</f>
        <v>47.12086</v>
      </c>
      <c r="H276" s="8">
        <f t="shared" si="3"/>
        <v>118811.95002979999</v>
      </c>
    </row>
    <row r="277" spans="2:8" ht="25.5" customHeight="1">
      <c r="B277" s="256" t="s">
        <v>2411</v>
      </c>
      <c r="C277" s="251" t="s">
        <v>465</v>
      </c>
      <c r="D277" s="3" t="s">
        <v>466</v>
      </c>
      <c r="E277" s="4" t="s">
        <v>24</v>
      </c>
      <c r="F277" s="5" t="s">
        <v>440</v>
      </c>
      <c r="G277" s="105">
        <v>30.24</v>
      </c>
      <c r="H277" s="8">
        <f t="shared" si="3"/>
        <v>60566.788799999995</v>
      </c>
    </row>
    <row r="278" spans="2:8" ht="15" customHeight="1">
      <c r="B278" s="256"/>
      <c r="C278" s="7"/>
      <c r="D278" s="274" t="s">
        <v>1176</v>
      </c>
      <c r="E278" s="275"/>
      <c r="F278" s="276"/>
      <c r="G278" s="284"/>
      <c r="H278" s="277">
        <f>SUM(H269:H277)</f>
        <v>459713.87006775197</v>
      </c>
    </row>
    <row r="279" spans="2:8" s="212" customFormat="1" ht="15" customHeight="1">
      <c r="B279" s="250" t="s">
        <v>467</v>
      </c>
      <c r="C279" s="250"/>
      <c r="D279" s="268" t="s">
        <v>468</v>
      </c>
      <c r="E279" s="268"/>
      <c r="F279" s="268"/>
      <c r="G279" s="268"/>
      <c r="H279" s="271" t="s">
        <v>1155</v>
      </c>
    </row>
    <row r="280" spans="2:8" ht="25.5">
      <c r="B280" s="256" t="s">
        <v>2412</v>
      </c>
      <c r="C280" s="251" t="s">
        <v>2026</v>
      </c>
      <c r="D280" s="214" t="s">
        <v>469</v>
      </c>
      <c r="E280" s="4" t="s">
        <v>24</v>
      </c>
      <c r="F280" s="5">
        <v>343.57</v>
      </c>
      <c r="G280" s="105">
        <f>CPU!H765</f>
        <v>89.870844734299993</v>
      </c>
      <c r="H280" s="8">
        <f t="shared" si="3"/>
        <v>30876.926125363447</v>
      </c>
    </row>
    <row r="281" spans="2:8" s="212" customFormat="1" ht="15" customHeight="1">
      <c r="B281" s="256"/>
      <c r="C281" s="217"/>
      <c r="D281" s="274" t="s">
        <v>1177</v>
      </c>
      <c r="E281" s="275"/>
      <c r="F281" s="276"/>
      <c r="G281" s="276"/>
      <c r="H281" s="277">
        <f>SUM(H280:H280)</f>
        <v>30876.926125363447</v>
      </c>
    </row>
    <row r="282" spans="2:8" s="212" customFormat="1" ht="15" customHeight="1">
      <c r="B282" s="250" t="s">
        <v>470</v>
      </c>
      <c r="C282" s="250"/>
      <c r="D282" s="268" t="s">
        <v>471</v>
      </c>
      <c r="E282" s="268"/>
      <c r="F282" s="268"/>
      <c r="G282" s="268"/>
      <c r="H282" s="271" t="s">
        <v>1155</v>
      </c>
    </row>
    <row r="283" spans="2:8" ht="25.5">
      <c r="B283" s="256" t="s">
        <v>2413</v>
      </c>
      <c r="C283" s="251" t="s">
        <v>2028</v>
      </c>
      <c r="D283" s="214" t="s">
        <v>473</v>
      </c>
      <c r="E283" s="4" t="s">
        <v>24</v>
      </c>
      <c r="F283" s="5" t="s">
        <v>474</v>
      </c>
      <c r="G283" s="105">
        <f>CPU!H770</f>
        <v>12.887285713279999</v>
      </c>
      <c r="H283" s="8">
        <f t="shared" si="3"/>
        <v>53361.610715835697</v>
      </c>
    </row>
    <row r="284" spans="2:8" ht="25.5">
      <c r="B284" s="256" t="s">
        <v>2414</v>
      </c>
      <c r="C284" s="251" t="s">
        <v>2029</v>
      </c>
      <c r="D284" s="3" t="s">
        <v>475</v>
      </c>
      <c r="E284" s="4" t="s">
        <v>24</v>
      </c>
      <c r="F284" s="5" t="s">
        <v>476</v>
      </c>
      <c r="G284" s="105">
        <f>CPU!H776</f>
        <v>18.139482999999998</v>
      </c>
      <c r="H284" s="8">
        <f t="shared" si="3"/>
        <v>6403.7816834899986</v>
      </c>
    </row>
    <row r="285" spans="2:8" ht="51">
      <c r="B285" s="256" t="s">
        <v>2415</v>
      </c>
      <c r="C285" s="251" t="s">
        <v>2031</v>
      </c>
      <c r="D285" s="103" t="s">
        <v>1844</v>
      </c>
      <c r="E285" s="4" t="s">
        <v>24</v>
      </c>
      <c r="F285" s="5">
        <v>3623</v>
      </c>
      <c r="G285" s="105">
        <f>CPU!H784</f>
        <v>105.77906999999999</v>
      </c>
      <c r="H285" s="8">
        <f t="shared" si="3"/>
        <v>383237.57060999994</v>
      </c>
    </row>
    <row r="286" spans="2:8" ht="51">
      <c r="B286" s="256" t="s">
        <v>2416</v>
      </c>
      <c r="C286" s="251" t="s">
        <v>2032</v>
      </c>
      <c r="D286" s="103" t="s">
        <v>1845</v>
      </c>
      <c r="E286" s="4" t="s">
        <v>24</v>
      </c>
      <c r="F286" s="5" t="s">
        <v>477</v>
      </c>
      <c r="G286" s="105">
        <f>CPU!H792</f>
        <v>69.313950000000006</v>
      </c>
      <c r="H286" s="8">
        <f t="shared" si="3"/>
        <v>49973.971671000007</v>
      </c>
    </row>
    <row r="287" spans="2:8" ht="51">
      <c r="B287" s="256" t="s">
        <v>2417</v>
      </c>
      <c r="C287" s="251" t="s">
        <v>2033</v>
      </c>
      <c r="D287" s="3" t="s">
        <v>478</v>
      </c>
      <c r="E287" s="4" t="s">
        <v>24</v>
      </c>
      <c r="F287" s="5" t="s">
        <v>479</v>
      </c>
      <c r="G287" s="105">
        <f>CPU!H799</f>
        <v>44.018099999999997</v>
      </c>
      <c r="H287" s="8">
        <f t="shared" si="3"/>
        <v>44908.145981999995</v>
      </c>
    </row>
    <row r="288" spans="2:8" ht="25.5">
      <c r="B288" s="256" t="s">
        <v>2418</v>
      </c>
      <c r="C288" s="251" t="s">
        <v>2034</v>
      </c>
      <c r="D288" s="3" t="s">
        <v>480</v>
      </c>
      <c r="E288" s="4" t="s">
        <v>24</v>
      </c>
      <c r="F288" s="5" t="s">
        <v>477</v>
      </c>
      <c r="G288" s="105">
        <f>CPU!H807</f>
        <v>127.71393548164963</v>
      </c>
      <c r="H288" s="8">
        <f t="shared" si="3"/>
        <v>92079.193203559757</v>
      </c>
    </row>
    <row r="289" spans="2:8" ht="51">
      <c r="B289" s="256" t="s">
        <v>2419</v>
      </c>
      <c r="C289" s="251" t="s">
        <v>481</v>
      </c>
      <c r="D289" s="3" t="s">
        <v>482</v>
      </c>
      <c r="E289" s="4" t="s">
        <v>24</v>
      </c>
      <c r="F289" s="5" t="s">
        <v>483</v>
      </c>
      <c r="G289" s="105">
        <v>51.73</v>
      </c>
      <c r="H289" s="8">
        <f t="shared" si="3"/>
        <v>275990.93060000002</v>
      </c>
    </row>
    <row r="290" spans="2:8" ht="38.25">
      <c r="B290" s="256" t="s">
        <v>2420</v>
      </c>
      <c r="C290" s="251" t="s">
        <v>484</v>
      </c>
      <c r="D290" s="3" t="s">
        <v>485</v>
      </c>
      <c r="E290" s="4" t="s">
        <v>24</v>
      </c>
      <c r="F290" s="5" t="s">
        <v>486</v>
      </c>
      <c r="G290" s="105">
        <v>86.05</v>
      </c>
      <c r="H290" s="8">
        <f t="shared" si="3"/>
        <v>102793.609</v>
      </c>
    </row>
    <row r="291" spans="2:8" ht="38.25">
      <c r="B291" s="256" t="s">
        <v>2421</v>
      </c>
      <c r="C291" s="251" t="s">
        <v>487</v>
      </c>
      <c r="D291" s="3" t="s">
        <v>488</v>
      </c>
      <c r="E291" s="4" t="s">
        <v>24</v>
      </c>
      <c r="F291" s="5" t="s">
        <v>474</v>
      </c>
      <c r="G291" s="105">
        <v>158.76</v>
      </c>
      <c r="H291" s="8">
        <f t="shared" si="3"/>
        <v>657368.00640000007</v>
      </c>
    </row>
    <row r="292" spans="2:8" ht="38.25">
      <c r="B292" s="256" t="s">
        <v>2422</v>
      </c>
      <c r="C292" s="251" t="s">
        <v>489</v>
      </c>
      <c r="D292" s="3" t="s">
        <v>490</v>
      </c>
      <c r="E292" s="4" t="s">
        <v>24</v>
      </c>
      <c r="F292" s="5" t="s">
        <v>491</v>
      </c>
      <c r="G292" s="105">
        <v>27.19</v>
      </c>
      <c r="H292" s="8">
        <f t="shared" si="3"/>
        <v>28166.121000000003</v>
      </c>
    </row>
    <row r="293" spans="2:8" ht="38.25">
      <c r="B293" s="256" t="s">
        <v>2423</v>
      </c>
      <c r="C293" s="251" t="s">
        <v>492</v>
      </c>
      <c r="D293" s="3" t="s">
        <v>493</v>
      </c>
      <c r="E293" s="4" t="s">
        <v>24</v>
      </c>
      <c r="F293" s="5" t="s">
        <v>494</v>
      </c>
      <c r="G293" s="105">
        <v>48.51</v>
      </c>
      <c r="H293" s="8">
        <f t="shared" si="3"/>
        <v>93315.291299999997</v>
      </c>
    </row>
    <row r="294" spans="2:8" ht="25.5">
      <c r="B294" s="256" t="s">
        <v>2424</v>
      </c>
      <c r="C294" s="251" t="s">
        <v>177</v>
      </c>
      <c r="D294" s="3" t="s">
        <v>178</v>
      </c>
      <c r="E294" s="4" t="s">
        <v>24</v>
      </c>
      <c r="F294" s="5" t="s">
        <v>495</v>
      </c>
      <c r="G294" s="105">
        <v>34.1</v>
      </c>
      <c r="H294" s="8">
        <f t="shared" si="3"/>
        <v>12081.630000000001</v>
      </c>
    </row>
    <row r="295" spans="2:8" s="212" customFormat="1" ht="15" customHeight="1">
      <c r="B295" s="256"/>
      <c r="C295" s="217"/>
      <c r="D295" s="274" t="s">
        <v>1178</v>
      </c>
      <c r="E295" s="275"/>
      <c r="F295" s="276"/>
      <c r="G295" s="276"/>
      <c r="H295" s="277">
        <f>SUM(H283:H294)</f>
        <v>1799679.8621658853</v>
      </c>
    </row>
    <row r="296" spans="2:8" s="212" customFormat="1" ht="15" customHeight="1">
      <c r="B296" s="250" t="s">
        <v>496</v>
      </c>
      <c r="C296" s="250"/>
      <c r="D296" s="268" t="s">
        <v>497</v>
      </c>
      <c r="E296" s="268"/>
      <c r="F296" s="268"/>
      <c r="G296" s="268"/>
      <c r="H296" s="271" t="s">
        <v>1155</v>
      </c>
    </row>
    <row r="297" spans="2:8" s="212" customFormat="1" ht="15" customHeight="1">
      <c r="B297" s="250" t="s">
        <v>498</v>
      </c>
      <c r="C297" s="250"/>
      <c r="D297" s="268" t="s">
        <v>499</v>
      </c>
      <c r="E297" s="268"/>
      <c r="F297" s="268"/>
      <c r="G297" s="268"/>
      <c r="H297" s="271" t="s">
        <v>1155</v>
      </c>
    </row>
    <row r="298" spans="2:8" ht="25.5">
      <c r="B298" s="256" t="s">
        <v>2425</v>
      </c>
      <c r="C298" s="251" t="s">
        <v>2038</v>
      </c>
      <c r="D298" s="214" t="s">
        <v>500</v>
      </c>
      <c r="E298" s="4" t="s">
        <v>15</v>
      </c>
      <c r="F298" s="5" t="s">
        <v>501</v>
      </c>
      <c r="G298" s="105">
        <f>CPU!H815</f>
        <v>29.766826701319999</v>
      </c>
      <c r="H298" s="8">
        <f t="shared" ref="H298:H364" si="5">F298*G298</f>
        <v>56748.966764731515</v>
      </c>
    </row>
    <row r="299" spans="2:8" s="212" customFormat="1" ht="15" customHeight="1">
      <c r="B299" s="250" t="s">
        <v>502</v>
      </c>
      <c r="C299" s="250"/>
      <c r="D299" s="268" t="s">
        <v>503</v>
      </c>
      <c r="E299" s="268"/>
      <c r="F299" s="268"/>
      <c r="G299" s="268"/>
      <c r="H299" s="271" t="s">
        <v>1155</v>
      </c>
    </row>
    <row r="300" spans="2:8" ht="25.5">
      <c r="B300" s="256" t="s">
        <v>2426</v>
      </c>
      <c r="C300" s="251" t="s">
        <v>1466</v>
      </c>
      <c r="D300" s="103" t="s">
        <v>1467</v>
      </c>
      <c r="E300" s="106" t="s">
        <v>15</v>
      </c>
      <c r="F300" s="105">
        <v>322.56</v>
      </c>
      <c r="G300" s="105">
        <v>98.76</v>
      </c>
      <c r="H300" s="8">
        <f t="shared" si="5"/>
        <v>31856.025600000001</v>
      </c>
    </row>
    <row r="301" spans="2:8" s="212" customFormat="1" ht="15" customHeight="1">
      <c r="B301" s="250" t="s">
        <v>504</v>
      </c>
      <c r="C301" s="250"/>
      <c r="D301" s="268" t="s">
        <v>505</v>
      </c>
      <c r="E301" s="268"/>
      <c r="F301" s="268"/>
      <c r="G301" s="268"/>
      <c r="H301" s="271" t="s">
        <v>1155</v>
      </c>
    </row>
    <row r="302" spans="2:8" ht="25.5">
      <c r="B302" s="256" t="s">
        <v>2427</v>
      </c>
      <c r="C302" s="251" t="s">
        <v>2039</v>
      </c>
      <c r="D302" s="3" t="s">
        <v>506</v>
      </c>
      <c r="E302" s="4" t="s">
        <v>507</v>
      </c>
      <c r="F302" s="5" t="s">
        <v>508</v>
      </c>
      <c r="G302" s="105">
        <f>CPU!H823</f>
        <v>95.607746419120005</v>
      </c>
      <c r="H302" s="8">
        <f t="shared" si="5"/>
        <v>18039.269594359565</v>
      </c>
    </row>
    <row r="303" spans="2:8" ht="25.5">
      <c r="B303" s="256" t="s">
        <v>2428</v>
      </c>
      <c r="C303" s="251" t="s">
        <v>2040</v>
      </c>
      <c r="D303" s="3" t="s">
        <v>509</v>
      </c>
      <c r="E303" s="4" t="s">
        <v>15</v>
      </c>
      <c r="F303" s="5" t="s">
        <v>510</v>
      </c>
      <c r="G303" s="105">
        <f>CPU!H829</f>
        <v>149.49431228749998</v>
      </c>
      <c r="H303" s="8">
        <f t="shared" si="5"/>
        <v>26231.76697708762</v>
      </c>
    </row>
    <row r="304" spans="2:8" ht="15" customHeight="1">
      <c r="B304" s="256"/>
      <c r="C304" s="251"/>
      <c r="D304" s="274" t="s">
        <v>1179</v>
      </c>
      <c r="E304" s="275"/>
      <c r="F304" s="276"/>
      <c r="G304" s="284"/>
      <c r="H304" s="277">
        <f>SUM(H298:H303)</f>
        <v>132876.02893617869</v>
      </c>
    </row>
    <row r="305" spans="2:8" s="212" customFormat="1" ht="15" customHeight="1">
      <c r="B305" s="250" t="s">
        <v>511</v>
      </c>
      <c r="C305" s="250"/>
      <c r="D305" s="268" t="s">
        <v>512</v>
      </c>
      <c r="E305" s="268"/>
      <c r="F305" s="268"/>
      <c r="G305" s="268"/>
      <c r="H305" s="271" t="s">
        <v>1155</v>
      </c>
    </row>
    <row r="306" spans="2:8" ht="38.25">
      <c r="B306" s="256" t="s">
        <v>2429</v>
      </c>
      <c r="C306" s="251" t="s">
        <v>2041</v>
      </c>
      <c r="D306" s="3" t="s">
        <v>2042</v>
      </c>
      <c r="E306" s="4" t="s">
        <v>15</v>
      </c>
      <c r="F306" s="5" t="s">
        <v>513</v>
      </c>
      <c r="G306" s="105">
        <f>CPU!H839</f>
        <v>593.2413415123001</v>
      </c>
      <c r="H306" s="8">
        <f t="shared" si="5"/>
        <v>30018.011880522386</v>
      </c>
    </row>
    <row r="307" spans="2:8" ht="38.25">
      <c r="B307" s="256" t="s">
        <v>2430</v>
      </c>
      <c r="C307" s="251" t="s">
        <v>2043</v>
      </c>
      <c r="D307" s="3" t="s">
        <v>1848</v>
      </c>
      <c r="E307" s="4" t="s">
        <v>15</v>
      </c>
      <c r="F307" s="5">
        <v>49</v>
      </c>
      <c r="G307" s="105">
        <f>CPU!H848</f>
        <v>556.95704942407997</v>
      </c>
      <c r="H307" s="8">
        <f t="shared" si="5"/>
        <v>27290.895421779918</v>
      </c>
    </row>
    <row r="308" spans="2:8" s="212" customFormat="1" ht="29.25" customHeight="1">
      <c r="B308" s="256" t="s">
        <v>2431</v>
      </c>
      <c r="C308" s="251" t="s">
        <v>2044</v>
      </c>
      <c r="D308" s="216" t="s">
        <v>1849</v>
      </c>
      <c r="E308" s="443" t="s">
        <v>37</v>
      </c>
      <c r="F308" s="284">
        <v>1</v>
      </c>
      <c r="G308" s="444">
        <f>CPU!H858</f>
        <v>2269.2143790000005</v>
      </c>
      <c r="H308" s="277">
        <f t="shared" si="5"/>
        <v>2269.2143790000005</v>
      </c>
    </row>
    <row r="309" spans="2:8" s="212" customFormat="1" ht="29.25" customHeight="1">
      <c r="B309" s="256" t="s">
        <v>2432</v>
      </c>
      <c r="C309" s="251" t="s">
        <v>2045</v>
      </c>
      <c r="D309" s="216" t="s">
        <v>1850</v>
      </c>
      <c r="E309" s="443" t="s">
        <v>37</v>
      </c>
      <c r="F309" s="284">
        <v>1</v>
      </c>
      <c r="G309" s="284">
        <f>CPU!H867</f>
        <v>3144.6116519999996</v>
      </c>
      <c r="H309" s="277">
        <f t="shared" si="5"/>
        <v>3144.6116519999996</v>
      </c>
    </row>
    <row r="310" spans="2:8" s="212" customFormat="1" ht="29.25" customHeight="1">
      <c r="B310" s="256" t="s">
        <v>2433</v>
      </c>
      <c r="C310" s="251" t="s">
        <v>2046</v>
      </c>
      <c r="D310" s="216" t="s">
        <v>1851</v>
      </c>
      <c r="E310" s="443" t="s">
        <v>37</v>
      </c>
      <c r="F310" s="284">
        <v>1</v>
      </c>
      <c r="G310" s="284">
        <f>CPU!H877</f>
        <v>2801.8355590000001</v>
      </c>
      <c r="H310" s="277">
        <f t="shared" si="5"/>
        <v>2801.8355590000001</v>
      </c>
    </row>
    <row r="311" spans="2:8" s="212" customFormat="1" ht="24.75" customHeight="1">
      <c r="B311" s="256" t="s">
        <v>2434</v>
      </c>
      <c r="C311" s="251" t="s">
        <v>2047</v>
      </c>
      <c r="D311" s="216" t="s">
        <v>1852</v>
      </c>
      <c r="E311" s="443" t="s">
        <v>37</v>
      </c>
      <c r="F311" s="284">
        <v>1</v>
      </c>
      <c r="G311" s="284">
        <f>CPU!H887</f>
        <v>6398.880470000001</v>
      </c>
      <c r="H311" s="277">
        <f t="shared" si="5"/>
        <v>6398.880470000001</v>
      </c>
    </row>
    <row r="312" spans="2:8" s="212" customFormat="1" ht="27.75" customHeight="1">
      <c r="B312" s="256" t="s">
        <v>2435</v>
      </c>
      <c r="C312" s="251" t="s">
        <v>2048</v>
      </c>
      <c r="D312" s="216" t="s">
        <v>1853</v>
      </c>
      <c r="E312" s="443" t="s">
        <v>37</v>
      </c>
      <c r="F312" s="284">
        <v>1</v>
      </c>
      <c r="G312" s="284">
        <f>CPU!H897</f>
        <v>5585.8875179999995</v>
      </c>
      <c r="H312" s="277">
        <f t="shared" si="5"/>
        <v>5585.8875179999995</v>
      </c>
    </row>
    <row r="313" spans="2:8" s="212" customFormat="1" ht="15" customHeight="1">
      <c r="B313" s="256"/>
      <c r="C313" s="251"/>
      <c r="D313" s="274" t="s">
        <v>1180</v>
      </c>
      <c r="E313" s="275"/>
      <c r="F313" s="276"/>
      <c r="G313" s="284"/>
      <c r="H313" s="277">
        <f>SUM(H306:H312)</f>
        <v>77509.336880302304</v>
      </c>
    </row>
    <row r="314" spans="2:8" s="212" customFormat="1" ht="15" customHeight="1">
      <c r="B314" s="250" t="s">
        <v>514</v>
      </c>
      <c r="C314" s="250"/>
      <c r="D314" s="268" t="s">
        <v>515</v>
      </c>
      <c r="E314" s="268"/>
      <c r="F314" s="268"/>
      <c r="G314" s="268"/>
      <c r="H314" s="271" t="s">
        <v>1155</v>
      </c>
    </row>
    <row r="315" spans="2:8" ht="17.100000000000001" customHeight="1">
      <c r="B315" s="256" t="s">
        <v>2436</v>
      </c>
      <c r="C315" s="251" t="s">
        <v>517</v>
      </c>
      <c r="D315" s="214" t="s">
        <v>518</v>
      </c>
      <c r="E315" s="4" t="s">
        <v>37</v>
      </c>
      <c r="F315" s="5" t="s">
        <v>289</v>
      </c>
      <c r="G315" s="105">
        <f>73.34*1.1325</f>
        <v>83.057550000000006</v>
      </c>
      <c r="H315" s="8">
        <f t="shared" si="5"/>
        <v>1827.2661000000001</v>
      </c>
    </row>
    <row r="316" spans="2:8" ht="17.100000000000001" customHeight="1">
      <c r="B316" s="256" t="s">
        <v>2437</v>
      </c>
      <c r="C316" s="251" t="s">
        <v>519</v>
      </c>
      <c r="D316" s="214" t="s">
        <v>520</v>
      </c>
      <c r="E316" s="4" t="s">
        <v>37</v>
      </c>
      <c r="F316" s="5" t="s">
        <v>25</v>
      </c>
      <c r="G316" s="105">
        <v>26.45</v>
      </c>
      <c r="H316" s="8">
        <f t="shared" si="5"/>
        <v>714.15</v>
      </c>
    </row>
    <row r="317" spans="2:8" ht="17.100000000000001" customHeight="1">
      <c r="B317" s="256" t="s">
        <v>2438</v>
      </c>
      <c r="C317" s="251" t="s">
        <v>521</v>
      </c>
      <c r="D317" s="214" t="s">
        <v>522</v>
      </c>
      <c r="E317" s="4" t="s">
        <v>37</v>
      </c>
      <c r="F317" s="5" t="s">
        <v>523</v>
      </c>
      <c r="G317" s="105">
        <v>42.67</v>
      </c>
      <c r="H317" s="8">
        <f t="shared" si="5"/>
        <v>3882.9700000000003</v>
      </c>
    </row>
    <row r="318" spans="2:8" s="212" customFormat="1" ht="15" customHeight="1">
      <c r="B318" s="256"/>
      <c r="C318" s="252"/>
      <c r="D318" s="274" t="s">
        <v>1181</v>
      </c>
      <c r="E318" s="275"/>
      <c r="F318" s="276"/>
      <c r="G318" s="276"/>
      <c r="H318" s="277">
        <f>SUM(H315:H317)</f>
        <v>6424.3860999999997</v>
      </c>
    </row>
    <row r="319" spans="2:8" s="212" customFormat="1" ht="15" customHeight="1">
      <c r="B319" s="250" t="s">
        <v>524</v>
      </c>
      <c r="C319" s="250"/>
      <c r="D319" s="268" t="s">
        <v>525</v>
      </c>
      <c r="E319" s="268"/>
      <c r="F319" s="268"/>
      <c r="G319" s="268"/>
      <c r="H319" s="271" t="s">
        <v>1155</v>
      </c>
    </row>
    <row r="320" spans="2:8" ht="25.5">
      <c r="B320" s="256" t="s">
        <v>2439</v>
      </c>
      <c r="C320" s="251" t="s">
        <v>526</v>
      </c>
      <c r="D320" s="3" t="s">
        <v>527</v>
      </c>
      <c r="E320" s="4" t="s">
        <v>24</v>
      </c>
      <c r="F320" s="5" t="s">
        <v>528</v>
      </c>
      <c r="G320" s="105">
        <v>20.12</v>
      </c>
      <c r="H320" s="8">
        <f t="shared" si="5"/>
        <v>18027.52</v>
      </c>
    </row>
    <row r="321" spans="2:8" ht="17.25" customHeight="1">
      <c r="B321" s="256" t="s">
        <v>2440</v>
      </c>
      <c r="C321" s="251" t="s">
        <v>529</v>
      </c>
      <c r="D321" s="214" t="s">
        <v>530</v>
      </c>
      <c r="E321" s="4" t="s">
        <v>24</v>
      </c>
      <c r="F321" s="5">
        <v>8620</v>
      </c>
      <c r="G321" s="105">
        <v>13.7</v>
      </c>
      <c r="H321" s="8">
        <f t="shared" si="5"/>
        <v>118094</v>
      </c>
    </row>
    <row r="322" spans="2:8" ht="24.75" customHeight="1">
      <c r="B322" s="256" t="s">
        <v>2441</v>
      </c>
      <c r="C322" s="251" t="s">
        <v>1929</v>
      </c>
      <c r="D322" s="3" t="s">
        <v>1930</v>
      </c>
      <c r="E322" s="4" t="s">
        <v>37</v>
      </c>
      <c r="F322" s="5">
        <v>34</v>
      </c>
      <c r="G322" s="105">
        <f>107.26*1.1325</f>
        <v>121.47195000000001</v>
      </c>
      <c r="H322" s="8">
        <f t="shared" ref="H322:H323" si="6">F322*G322</f>
        <v>4130.0463</v>
      </c>
    </row>
    <row r="323" spans="2:8" ht="27.75" customHeight="1">
      <c r="B323" s="256" t="s">
        <v>2442</v>
      </c>
      <c r="C323" s="251" t="s">
        <v>1931</v>
      </c>
      <c r="D323" s="3" t="s">
        <v>1932</v>
      </c>
      <c r="E323" s="4" t="s">
        <v>37</v>
      </c>
      <c r="F323" s="5">
        <v>34</v>
      </c>
      <c r="G323" s="105">
        <v>126.14</v>
      </c>
      <c r="H323" s="8">
        <f t="shared" si="6"/>
        <v>4288.76</v>
      </c>
    </row>
    <row r="324" spans="2:8" s="212" customFormat="1" ht="15" customHeight="1">
      <c r="B324" s="256"/>
      <c r="C324" s="251"/>
      <c r="D324" s="274" t="s">
        <v>1182</v>
      </c>
      <c r="E324" s="275"/>
      <c r="F324" s="276"/>
      <c r="G324" s="276"/>
      <c r="H324" s="277">
        <f>SUM(H320:H323)</f>
        <v>144540.32629999999</v>
      </c>
    </row>
    <row r="325" spans="2:8" s="212" customFormat="1" ht="15" customHeight="1">
      <c r="B325" s="250" t="s">
        <v>531</v>
      </c>
      <c r="C325" s="250"/>
      <c r="D325" s="268" t="s">
        <v>532</v>
      </c>
      <c r="E325" s="268"/>
      <c r="F325" s="268"/>
      <c r="G325" s="268"/>
      <c r="H325" s="271" t="s">
        <v>1155</v>
      </c>
    </row>
    <row r="326" spans="2:8" s="212" customFormat="1" ht="15" customHeight="1">
      <c r="B326" s="250" t="s">
        <v>533</v>
      </c>
      <c r="C326" s="250"/>
      <c r="D326" s="268" t="s">
        <v>534</v>
      </c>
      <c r="E326" s="268"/>
      <c r="F326" s="268"/>
      <c r="G326" s="268"/>
      <c r="H326" s="271" t="s">
        <v>1155</v>
      </c>
    </row>
    <row r="327" spans="2:8" ht="39.75" customHeight="1">
      <c r="B327" s="256" t="s">
        <v>2443</v>
      </c>
      <c r="C327" s="251" t="s">
        <v>2191</v>
      </c>
      <c r="D327" s="3" t="s">
        <v>74</v>
      </c>
      <c r="E327" s="4" t="s">
        <v>75</v>
      </c>
      <c r="F327" s="5" t="s">
        <v>535</v>
      </c>
      <c r="G327" s="105">
        <v>6.08</v>
      </c>
      <c r="H327" s="8">
        <f t="shared" si="5"/>
        <v>4526.2560000000003</v>
      </c>
    </row>
    <row r="328" spans="2:8" ht="38.25">
      <c r="B328" s="256" t="s">
        <v>2444</v>
      </c>
      <c r="C328" s="251" t="s">
        <v>106</v>
      </c>
      <c r="D328" s="3" t="s">
        <v>107</v>
      </c>
      <c r="E328" s="4" t="s">
        <v>108</v>
      </c>
      <c r="F328" s="5" t="s">
        <v>536</v>
      </c>
      <c r="G328" s="105">
        <v>0.65</v>
      </c>
      <c r="H328" s="8">
        <f t="shared" si="5"/>
        <v>11129.5275</v>
      </c>
    </row>
    <row r="329" spans="2:8" s="212" customFormat="1" ht="15" customHeight="1">
      <c r="B329" s="250" t="s">
        <v>537</v>
      </c>
      <c r="C329" s="250"/>
      <c r="D329" s="268" t="s">
        <v>538</v>
      </c>
      <c r="E329" s="268"/>
      <c r="F329" s="268"/>
      <c r="G329" s="268"/>
      <c r="H329" s="271" t="s">
        <v>1155</v>
      </c>
    </row>
    <row r="330" spans="2:8" ht="25.5">
      <c r="B330" s="256" t="s">
        <v>2445</v>
      </c>
      <c r="C330" s="251" t="s">
        <v>2219</v>
      </c>
      <c r="D330" s="3" t="s">
        <v>539</v>
      </c>
      <c r="E330" s="4" t="s">
        <v>24</v>
      </c>
      <c r="F330" s="5" t="s">
        <v>540</v>
      </c>
      <c r="G330" s="105">
        <v>1.97</v>
      </c>
      <c r="H330" s="8">
        <f t="shared" si="5"/>
        <v>4605.8599999999997</v>
      </c>
    </row>
    <row r="331" spans="2:8" ht="38.25">
      <c r="B331" s="256" t="s">
        <v>2446</v>
      </c>
      <c r="C331" s="251" t="s">
        <v>2049</v>
      </c>
      <c r="D331" s="3" t="s">
        <v>541</v>
      </c>
      <c r="E331" s="4" t="s">
        <v>75</v>
      </c>
      <c r="F331" s="5" t="s">
        <v>542</v>
      </c>
      <c r="G331" s="105">
        <f>CPU!H902</f>
        <v>1.8741351999999998</v>
      </c>
      <c r="H331" s="8">
        <f t="shared" si="5"/>
        <v>877.09527359999993</v>
      </c>
    </row>
    <row r="332" spans="2:8" s="212" customFormat="1" ht="15" customHeight="1">
      <c r="B332" s="250" t="s">
        <v>543</v>
      </c>
      <c r="C332" s="250"/>
      <c r="D332" s="268" t="s">
        <v>544</v>
      </c>
      <c r="E332" s="268"/>
      <c r="F332" s="268"/>
      <c r="G332" s="268"/>
      <c r="H332" s="271" t="s">
        <v>1155</v>
      </c>
    </row>
    <row r="333" spans="2:8" ht="65.25" customHeight="1">
      <c r="B333" s="256" t="s">
        <v>2447</v>
      </c>
      <c r="C333" s="251" t="s">
        <v>545</v>
      </c>
      <c r="D333" s="3" t="s">
        <v>546</v>
      </c>
      <c r="E333" s="4" t="s">
        <v>15</v>
      </c>
      <c r="F333" s="5" t="s">
        <v>547</v>
      </c>
      <c r="G333" s="105">
        <v>52.32</v>
      </c>
      <c r="H333" s="8">
        <f t="shared" si="5"/>
        <v>17736.48</v>
      </c>
    </row>
    <row r="334" spans="2:8" s="212" customFormat="1" ht="15" customHeight="1">
      <c r="B334" s="250" t="s">
        <v>548</v>
      </c>
      <c r="C334" s="250" t="s">
        <v>548</v>
      </c>
      <c r="D334" s="268" t="s">
        <v>549</v>
      </c>
      <c r="E334" s="268"/>
      <c r="F334" s="268"/>
      <c r="G334" s="268"/>
      <c r="H334" s="271" t="s">
        <v>1155</v>
      </c>
    </row>
    <row r="335" spans="2:8" ht="15" customHeight="1">
      <c r="B335" s="256" t="s">
        <v>2448</v>
      </c>
      <c r="C335" s="251" t="s">
        <v>2192</v>
      </c>
      <c r="D335" s="214" t="s">
        <v>550</v>
      </c>
      <c r="E335" s="4" t="s">
        <v>75</v>
      </c>
      <c r="F335" s="5">
        <v>269.73</v>
      </c>
      <c r="G335" s="105">
        <v>177.13</v>
      </c>
      <c r="H335" s="8">
        <f t="shared" si="5"/>
        <v>47777.274900000004</v>
      </c>
    </row>
    <row r="336" spans="2:8" s="212" customFormat="1" ht="15" customHeight="1">
      <c r="B336" s="250" t="s">
        <v>551</v>
      </c>
      <c r="C336" s="250" t="s">
        <v>551</v>
      </c>
      <c r="D336" s="268" t="s">
        <v>422</v>
      </c>
      <c r="E336" s="268"/>
      <c r="F336" s="268"/>
      <c r="G336" s="268"/>
      <c r="H336" s="271" t="s">
        <v>1155</v>
      </c>
    </row>
    <row r="337" spans="2:8" ht="38.25">
      <c r="B337" s="256" t="s">
        <v>2449</v>
      </c>
      <c r="C337" s="251" t="s">
        <v>552</v>
      </c>
      <c r="D337" s="3" t="s">
        <v>553</v>
      </c>
      <c r="E337" s="4" t="s">
        <v>24</v>
      </c>
      <c r="F337" s="5" t="s">
        <v>528</v>
      </c>
      <c r="G337" s="105">
        <v>65.5</v>
      </c>
      <c r="H337" s="8">
        <f t="shared" si="5"/>
        <v>58688</v>
      </c>
    </row>
    <row r="338" spans="2:8" ht="39" customHeight="1">
      <c r="B338" s="256" t="s">
        <v>2450</v>
      </c>
      <c r="C338" s="251" t="s">
        <v>554</v>
      </c>
      <c r="D338" s="3" t="s">
        <v>555</v>
      </c>
      <c r="E338" s="4" t="s">
        <v>24</v>
      </c>
      <c r="F338" s="5">
        <v>902.2</v>
      </c>
      <c r="G338" s="105">
        <v>65.540000000000006</v>
      </c>
      <c r="H338" s="8">
        <f t="shared" si="5"/>
        <v>59130.188000000009</v>
      </c>
    </row>
    <row r="339" spans="2:8" s="212" customFormat="1" ht="15" customHeight="1">
      <c r="B339" s="250" t="s">
        <v>556</v>
      </c>
      <c r="C339" s="250" t="s">
        <v>556</v>
      </c>
      <c r="D339" s="268" t="s">
        <v>557</v>
      </c>
      <c r="E339" s="268"/>
      <c r="F339" s="268"/>
      <c r="G339" s="268"/>
      <c r="H339" s="271" t="s">
        <v>1155</v>
      </c>
    </row>
    <row r="340" spans="2:8" ht="38.25">
      <c r="B340" s="256" t="s">
        <v>2451</v>
      </c>
      <c r="C340" s="251" t="s">
        <v>558</v>
      </c>
      <c r="D340" s="3" t="s">
        <v>559</v>
      </c>
      <c r="E340" s="4" t="s">
        <v>24</v>
      </c>
      <c r="F340" s="5">
        <v>2040.5</v>
      </c>
      <c r="G340" s="105">
        <v>78.48</v>
      </c>
      <c r="H340" s="8">
        <f t="shared" si="5"/>
        <v>160138.44</v>
      </c>
    </row>
    <row r="341" spans="2:8" ht="28.5" customHeight="1">
      <c r="B341" s="256" t="s">
        <v>2452</v>
      </c>
      <c r="C341" s="258" t="s">
        <v>2193</v>
      </c>
      <c r="D341" s="85" t="s">
        <v>1864</v>
      </c>
      <c r="E341" s="4" t="s">
        <v>37</v>
      </c>
      <c r="F341" s="5">
        <v>3</v>
      </c>
      <c r="G341" s="105">
        <f>CPU!H918</f>
        <v>718.65934025200011</v>
      </c>
      <c r="H341" s="8">
        <f t="shared" si="5"/>
        <v>2155.9780207560002</v>
      </c>
    </row>
    <row r="342" spans="2:8" ht="15" customHeight="1">
      <c r="B342" s="256"/>
      <c r="C342" s="251"/>
      <c r="D342" s="274" t="s">
        <v>1183</v>
      </c>
      <c r="E342" s="275"/>
      <c r="F342" s="276"/>
      <c r="G342" s="276"/>
      <c r="H342" s="277">
        <f>SUM(H327:H341)</f>
        <v>366765.09969435603</v>
      </c>
    </row>
    <row r="343" spans="2:8" s="212" customFormat="1" ht="15" customHeight="1">
      <c r="B343" s="250" t="s">
        <v>560</v>
      </c>
      <c r="C343" s="250"/>
      <c r="D343" s="268" t="s">
        <v>561</v>
      </c>
      <c r="E343" s="268"/>
      <c r="F343" s="268"/>
      <c r="G343" s="268"/>
      <c r="H343" s="271" t="s">
        <v>1155</v>
      </c>
    </row>
    <row r="344" spans="2:8" ht="25.5">
      <c r="B344" s="256" t="s">
        <v>2453</v>
      </c>
      <c r="C344" s="7" t="s">
        <v>2194</v>
      </c>
      <c r="D344" s="3" t="s">
        <v>562</v>
      </c>
      <c r="E344" s="4" t="s">
        <v>24</v>
      </c>
      <c r="F344" s="5" t="s">
        <v>563</v>
      </c>
      <c r="G344" s="105">
        <v>40.01</v>
      </c>
      <c r="H344" s="8">
        <f t="shared" si="5"/>
        <v>1932.4829999999997</v>
      </c>
    </row>
    <row r="345" spans="2:8" ht="25.5">
      <c r="B345" s="256" t="s">
        <v>2454</v>
      </c>
      <c r="C345" s="7" t="s">
        <v>2195</v>
      </c>
      <c r="D345" s="3" t="s">
        <v>564</v>
      </c>
      <c r="E345" s="4" t="s">
        <v>24</v>
      </c>
      <c r="F345" s="5" t="s">
        <v>73</v>
      </c>
      <c r="G345" s="105">
        <v>610.29</v>
      </c>
      <c r="H345" s="8">
        <f t="shared" si="5"/>
        <v>1391.4611999999997</v>
      </c>
    </row>
    <row r="346" spans="2:8" ht="25.5">
      <c r="B346" s="256" t="s">
        <v>2455</v>
      </c>
      <c r="C346" s="7" t="s">
        <v>2196</v>
      </c>
      <c r="D346" s="3" t="s">
        <v>565</v>
      </c>
      <c r="E346" s="4" t="s">
        <v>24</v>
      </c>
      <c r="F346" s="5" t="s">
        <v>566</v>
      </c>
      <c r="G346" s="105">
        <v>48.31</v>
      </c>
      <c r="H346" s="8">
        <f t="shared" si="5"/>
        <v>1478.2860000000001</v>
      </c>
    </row>
    <row r="347" spans="2:8" s="212" customFormat="1" ht="15" customHeight="1">
      <c r="B347" s="256"/>
      <c r="C347" s="217"/>
      <c r="D347" s="274" t="s">
        <v>1184</v>
      </c>
      <c r="E347" s="275"/>
      <c r="F347" s="276"/>
      <c r="G347" s="276"/>
      <c r="H347" s="277">
        <f>SUM(H344:H346)</f>
        <v>4802.2302</v>
      </c>
    </row>
    <row r="348" spans="2:8" s="212" customFormat="1" ht="20.100000000000001" customHeight="1">
      <c r="B348" s="253"/>
      <c r="C348" s="259"/>
      <c r="D348" s="260" t="s">
        <v>2797</v>
      </c>
      <c r="E348" s="261"/>
      <c r="F348" s="262"/>
      <c r="G348" s="262"/>
      <c r="H348" s="263">
        <f>H190+H229+H235+H243+H249+H255+H263+H267+H278+H281+H295+H304+H313+H324+H342+H347</f>
        <v>7923361.9375681262</v>
      </c>
    </row>
    <row r="349" spans="2:8" s="212" customFormat="1" ht="20.100000000000001" customHeight="1">
      <c r="B349" s="257" t="s">
        <v>567</v>
      </c>
      <c r="C349" s="257"/>
      <c r="D349" s="286" t="s">
        <v>568</v>
      </c>
      <c r="E349" s="286"/>
      <c r="F349" s="286"/>
      <c r="G349" s="286"/>
      <c r="H349" s="287" t="s">
        <v>1155</v>
      </c>
    </row>
    <row r="350" spans="2:8" s="212" customFormat="1" ht="15" customHeight="1">
      <c r="B350" s="244" t="s">
        <v>569</v>
      </c>
      <c r="C350" s="244"/>
      <c r="D350" s="245" t="s">
        <v>570</v>
      </c>
      <c r="E350" s="245"/>
      <c r="F350" s="245"/>
      <c r="G350" s="245"/>
      <c r="H350" s="279" t="s">
        <v>1155</v>
      </c>
    </row>
    <row r="351" spans="2:8" s="212" customFormat="1" ht="15" customHeight="1">
      <c r="B351" s="250" t="s">
        <v>571</v>
      </c>
      <c r="C351" s="250"/>
      <c r="D351" s="268" t="s">
        <v>572</v>
      </c>
      <c r="E351" s="268"/>
      <c r="F351" s="268"/>
      <c r="G351" s="268"/>
      <c r="H351" s="271" t="s">
        <v>1155</v>
      </c>
    </row>
    <row r="352" spans="2:8" ht="25.5" customHeight="1">
      <c r="B352" s="256" t="s">
        <v>2456</v>
      </c>
      <c r="C352" s="251" t="s">
        <v>573</v>
      </c>
      <c r="D352" s="3" t="s">
        <v>574</v>
      </c>
      <c r="E352" s="4" t="s">
        <v>37</v>
      </c>
      <c r="F352" s="5" t="s">
        <v>575</v>
      </c>
      <c r="G352" s="105">
        <v>34.75</v>
      </c>
      <c r="H352" s="8">
        <f t="shared" si="5"/>
        <v>312.75</v>
      </c>
    </row>
    <row r="353" spans="2:8" ht="38.25">
      <c r="B353" s="256" t="s">
        <v>2457</v>
      </c>
      <c r="C353" s="251" t="s">
        <v>576</v>
      </c>
      <c r="D353" s="3" t="s">
        <v>577</v>
      </c>
      <c r="E353" s="4" t="s">
        <v>37</v>
      </c>
      <c r="F353" s="5" t="s">
        <v>367</v>
      </c>
      <c r="G353" s="105">
        <v>60.22</v>
      </c>
      <c r="H353" s="8">
        <f t="shared" si="5"/>
        <v>120.44</v>
      </c>
    </row>
    <row r="354" spans="2:8" ht="53.25" customHeight="1">
      <c r="B354" s="256" t="s">
        <v>2458</v>
      </c>
      <c r="C354" s="251" t="s">
        <v>578</v>
      </c>
      <c r="D354" s="3" t="s">
        <v>579</v>
      </c>
      <c r="E354" s="4" t="s">
        <v>15</v>
      </c>
      <c r="F354" s="5" t="s">
        <v>580</v>
      </c>
      <c r="G354" s="105">
        <v>78.73</v>
      </c>
      <c r="H354" s="8">
        <f t="shared" si="5"/>
        <v>944.76</v>
      </c>
    </row>
    <row r="355" spans="2:8" ht="49.5" customHeight="1">
      <c r="B355" s="256" t="s">
        <v>2459</v>
      </c>
      <c r="C355" s="251" t="s">
        <v>581</v>
      </c>
      <c r="D355" s="3" t="s">
        <v>582</v>
      </c>
      <c r="E355" s="4" t="s">
        <v>15</v>
      </c>
      <c r="F355" s="5" t="s">
        <v>583</v>
      </c>
      <c r="G355" s="105">
        <v>110.72</v>
      </c>
      <c r="H355" s="8">
        <f t="shared" si="5"/>
        <v>664.31999999999994</v>
      </c>
    </row>
    <row r="356" spans="2:8" ht="37.5" customHeight="1">
      <c r="B356" s="256" t="s">
        <v>2460</v>
      </c>
      <c r="C356" s="251" t="s">
        <v>584</v>
      </c>
      <c r="D356" s="3" t="s">
        <v>585</v>
      </c>
      <c r="E356" s="4" t="s">
        <v>37</v>
      </c>
      <c r="F356" s="5" t="s">
        <v>516</v>
      </c>
      <c r="G356" s="105">
        <v>46.1</v>
      </c>
      <c r="H356" s="8">
        <f t="shared" si="5"/>
        <v>922</v>
      </c>
    </row>
    <row r="357" spans="2:8" ht="38.25" customHeight="1">
      <c r="B357" s="256" t="s">
        <v>2461</v>
      </c>
      <c r="C357" s="251" t="s">
        <v>586</v>
      </c>
      <c r="D357" s="3" t="s">
        <v>587</v>
      </c>
      <c r="E357" s="4" t="s">
        <v>37</v>
      </c>
      <c r="F357" s="5" t="s">
        <v>588</v>
      </c>
      <c r="G357" s="105">
        <v>89.02</v>
      </c>
      <c r="H357" s="8">
        <f t="shared" si="5"/>
        <v>445.09999999999997</v>
      </c>
    </row>
    <row r="358" spans="2:8" ht="40.5" customHeight="1">
      <c r="B358" s="256" t="s">
        <v>2462</v>
      </c>
      <c r="C358" s="251" t="s">
        <v>589</v>
      </c>
      <c r="D358" s="3" t="s">
        <v>590</v>
      </c>
      <c r="E358" s="4" t="s">
        <v>37</v>
      </c>
      <c r="F358" s="5" t="s">
        <v>367</v>
      </c>
      <c r="G358" s="105">
        <v>107.73</v>
      </c>
      <c r="H358" s="8">
        <f t="shared" si="5"/>
        <v>215.46</v>
      </c>
    </row>
    <row r="359" spans="2:8" ht="38.25" customHeight="1">
      <c r="B359" s="256" t="s">
        <v>2463</v>
      </c>
      <c r="C359" s="251" t="s">
        <v>591</v>
      </c>
      <c r="D359" s="3" t="s">
        <v>592</v>
      </c>
      <c r="E359" s="4" t="s">
        <v>37</v>
      </c>
      <c r="F359" s="5" t="s">
        <v>593</v>
      </c>
      <c r="G359" s="105">
        <v>29.5</v>
      </c>
      <c r="H359" s="8">
        <f t="shared" si="5"/>
        <v>206.5</v>
      </c>
    </row>
    <row r="360" spans="2:8" ht="38.25">
      <c r="B360" s="256" t="s">
        <v>2464</v>
      </c>
      <c r="C360" s="251" t="s">
        <v>594</v>
      </c>
      <c r="D360" s="3" t="s">
        <v>595</v>
      </c>
      <c r="E360" s="4" t="s">
        <v>37</v>
      </c>
      <c r="F360" s="5" t="s">
        <v>367</v>
      </c>
      <c r="G360" s="105">
        <v>761.02</v>
      </c>
      <c r="H360" s="8">
        <f t="shared" si="5"/>
        <v>1522.04</v>
      </c>
    </row>
    <row r="361" spans="2:8" ht="38.25">
      <c r="B361" s="256" t="s">
        <v>2465</v>
      </c>
      <c r="C361" s="251" t="s">
        <v>596</v>
      </c>
      <c r="D361" s="3" t="s">
        <v>597</v>
      </c>
      <c r="E361" s="4" t="s">
        <v>37</v>
      </c>
      <c r="F361" s="5" t="s">
        <v>367</v>
      </c>
      <c r="G361" s="105">
        <v>1324.23</v>
      </c>
      <c r="H361" s="8">
        <f t="shared" si="5"/>
        <v>2648.46</v>
      </c>
    </row>
    <row r="362" spans="2:8" ht="52.5" customHeight="1">
      <c r="B362" s="256" t="s">
        <v>2466</v>
      </c>
      <c r="C362" s="251" t="s">
        <v>598</v>
      </c>
      <c r="D362" s="3" t="s">
        <v>599</v>
      </c>
      <c r="E362" s="4" t="s">
        <v>37</v>
      </c>
      <c r="F362" s="5" t="s">
        <v>358</v>
      </c>
      <c r="G362" s="105">
        <v>140.93</v>
      </c>
      <c r="H362" s="8">
        <f t="shared" si="5"/>
        <v>422.79</v>
      </c>
    </row>
    <row r="363" spans="2:8" ht="63.75">
      <c r="B363" s="256" t="s">
        <v>2467</v>
      </c>
      <c r="C363" s="251" t="s">
        <v>600</v>
      </c>
      <c r="D363" s="3" t="s">
        <v>601</v>
      </c>
      <c r="E363" s="4" t="s">
        <v>37</v>
      </c>
      <c r="F363" s="5" t="s">
        <v>38</v>
      </c>
      <c r="G363" s="105">
        <v>69.22</v>
      </c>
      <c r="H363" s="8">
        <f t="shared" si="5"/>
        <v>69.22</v>
      </c>
    </row>
    <row r="364" spans="2:8" ht="25.5" customHeight="1">
      <c r="B364" s="256" t="s">
        <v>2468</v>
      </c>
      <c r="C364" s="251" t="s">
        <v>602</v>
      </c>
      <c r="D364" s="3" t="s">
        <v>603</v>
      </c>
      <c r="E364" s="4" t="s">
        <v>37</v>
      </c>
      <c r="F364" s="5" t="s">
        <v>367</v>
      </c>
      <c r="G364" s="105">
        <v>59.61</v>
      </c>
      <c r="H364" s="8">
        <f t="shared" si="5"/>
        <v>119.22</v>
      </c>
    </row>
    <row r="365" spans="2:8" s="212" customFormat="1" ht="15" customHeight="1">
      <c r="B365" s="250" t="s">
        <v>604</v>
      </c>
      <c r="C365" s="250"/>
      <c r="D365" s="268" t="s">
        <v>605</v>
      </c>
      <c r="E365" s="268"/>
      <c r="F365" s="268"/>
      <c r="G365" s="268"/>
      <c r="H365" s="271" t="s">
        <v>1155</v>
      </c>
    </row>
    <row r="366" spans="2:8" ht="25.5">
      <c r="B366" s="256" t="s">
        <v>2469</v>
      </c>
      <c r="C366" s="251" t="s">
        <v>2055</v>
      </c>
      <c r="D366" s="214" t="s">
        <v>606</v>
      </c>
      <c r="E366" s="4" t="s">
        <v>37</v>
      </c>
      <c r="F366" s="5" t="s">
        <v>607</v>
      </c>
      <c r="G366" s="105">
        <f>CPU!H927</f>
        <v>16.243066796298251</v>
      </c>
      <c r="H366" s="8">
        <f t="shared" ref="H366:H439" si="7">F366*G366</f>
        <v>2436.4600194447376</v>
      </c>
    </row>
    <row r="367" spans="2:8" ht="25.5">
      <c r="B367" s="256" t="s">
        <v>2470</v>
      </c>
      <c r="C367" s="251" t="s">
        <v>2056</v>
      </c>
      <c r="D367" s="214" t="s">
        <v>608</v>
      </c>
      <c r="E367" s="4" t="s">
        <v>37</v>
      </c>
      <c r="F367" s="5" t="s">
        <v>583</v>
      </c>
      <c r="G367" s="105">
        <f>CPU!H935</f>
        <v>6.8678187996823583</v>
      </c>
      <c r="H367" s="8">
        <f t="shared" si="7"/>
        <v>41.206912798094152</v>
      </c>
    </row>
    <row r="368" spans="2:8" ht="25.5">
      <c r="B368" s="256" t="s">
        <v>2471</v>
      </c>
      <c r="C368" s="251" t="s">
        <v>2057</v>
      </c>
      <c r="D368" s="214" t="s">
        <v>609</v>
      </c>
      <c r="E368" s="4" t="s">
        <v>37</v>
      </c>
      <c r="F368" s="5" t="s">
        <v>583</v>
      </c>
      <c r="G368" s="105">
        <f>CPU!H943</f>
        <v>9.6603667997556606</v>
      </c>
      <c r="H368" s="8">
        <f t="shared" si="7"/>
        <v>57.962200798533964</v>
      </c>
    </row>
    <row r="369" spans="2:8" ht="25.5">
      <c r="B369" s="256" t="s">
        <v>2472</v>
      </c>
      <c r="C369" s="251" t="s">
        <v>2058</v>
      </c>
      <c r="D369" s="214" t="s">
        <v>610</v>
      </c>
      <c r="E369" s="4" t="s">
        <v>37</v>
      </c>
      <c r="F369" s="5" t="s">
        <v>611</v>
      </c>
      <c r="G369" s="105">
        <f>CPU!H951</f>
        <v>14.0730160011484</v>
      </c>
      <c r="H369" s="8">
        <f t="shared" si="7"/>
        <v>112.5841280091872</v>
      </c>
    </row>
    <row r="370" spans="2:8" ht="39" customHeight="1">
      <c r="B370" s="256" t="s">
        <v>2473</v>
      </c>
      <c r="C370" s="251" t="s">
        <v>612</v>
      </c>
      <c r="D370" s="3" t="s">
        <v>613</v>
      </c>
      <c r="E370" s="4" t="s">
        <v>37</v>
      </c>
      <c r="F370" s="5" t="s">
        <v>614</v>
      </c>
      <c r="G370" s="105">
        <v>14.47</v>
      </c>
      <c r="H370" s="8">
        <f t="shared" si="7"/>
        <v>303.87</v>
      </c>
    </row>
    <row r="371" spans="2:8" ht="38.25">
      <c r="B371" s="256" t="s">
        <v>2474</v>
      </c>
      <c r="C371" s="251" t="s">
        <v>615</v>
      </c>
      <c r="D371" s="3" t="s">
        <v>616</v>
      </c>
      <c r="E371" s="4" t="s">
        <v>37</v>
      </c>
      <c r="F371" s="5" t="s">
        <v>617</v>
      </c>
      <c r="G371" s="105">
        <v>7.06</v>
      </c>
      <c r="H371" s="8">
        <f t="shared" si="7"/>
        <v>564.79999999999995</v>
      </c>
    </row>
    <row r="372" spans="2:8" ht="38.25">
      <c r="B372" s="256" t="s">
        <v>2475</v>
      </c>
      <c r="C372" s="251" t="s">
        <v>618</v>
      </c>
      <c r="D372" s="3" t="s">
        <v>619</v>
      </c>
      <c r="E372" s="4" t="s">
        <v>37</v>
      </c>
      <c r="F372" s="5" t="s">
        <v>620</v>
      </c>
      <c r="G372" s="105">
        <v>17.260000000000002</v>
      </c>
      <c r="H372" s="8">
        <f t="shared" si="7"/>
        <v>863.00000000000011</v>
      </c>
    </row>
    <row r="373" spans="2:8" ht="27.75" customHeight="1">
      <c r="B373" s="256" t="s">
        <v>2476</v>
      </c>
      <c r="C373" s="251" t="s">
        <v>621</v>
      </c>
      <c r="D373" s="3" t="s">
        <v>622</v>
      </c>
      <c r="E373" s="4" t="s">
        <v>15</v>
      </c>
      <c r="F373" s="5" t="s">
        <v>623</v>
      </c>
      <c r="G373" s="105">
        <v>5.88</v>
      </c>
      <c r="H373" s="8">
        <f t="shared" si="7"/>
        <v>2869.44</v>
      </c>
    </row>
    <row r="374" spans="2:8" ht="27.75" customHeight="1">
      <c r="B374" s="256" t="s">
        <v>2477</v>
      </c>
      <c r="C374" s="251" t="s">
        <v>624</v>
      </c>
      <c r="D374" s="3" t="s">
        <v>625</v>
      </c>
      <c r="E374" s="4" t="s">
        <v>15</v>
      </c>
      <c r="F374" s="5" t="s">
        <v>34</v>
      </c>
      <c r="G374" s="105">
        <v>12.53</v>
      </c>
      <c r="H374" s="8">
        <f t="shared" si="7"/>
        <v>225.54</v>
      </c>
    </row>
    <row r="375" spans="2:8" ht="25.5" customHeight="1">
      <c r="B375" s="256" t="s">
        <v>2478</v>
      </c>
      <c r="C375" s="251" t="s">
        <v>626</v>
      </c>
      <c r="D375" s="3" t="s">
        <v>627</v>
      </c>
      <c r="E375" s="4" t="s">
        <v>15</v>
      </c>
      <c r="F375" s="5" t="s">
        <v>628</v>
      </c>
      <c r="G375" s="105">
        <v>18.04</v>
      </c>
      <c r="H375" s="8">
        <f t="shared" si="7"/>
        <v>4906.88</v>
      </c>
    </row>
    <row r="376" spans="2:8" ht="27" customHeight="1">
      <c r="B376" s="256" t="s">
        <v>2479</v>
      </c>
      <c r="C376" s="251" t="s">
        <v>629</v>
      </c>
      <c r="D376" s="3" t="s">
        <v>630</v>
      </c>
      <c r="E376" s="4" t="s">
        <v>15</v>
      </c>
      <c r="F376" s="5" t="s">
        <v>631</v>
      </c>
      <c r="G376" s="105">
        <v>20.73</v>
      </c>
      <c r="H376" s="8">
        <f t="shared" si="7"/>
        <v>2425.41</v>
      </c>
    </row>
    <row r="377" spans="2:8" ht="27" customHeight="1">
      <c r="B377" s="256" t="s">
        <v>2480</v>
      </c>
      <c r="C377" s="251" t="s">
        <v>632</v>
      </c>
      <c r="D377" s="3" t="s">
        <v>633</v>
      </c>
      <c r="E377" s="4" t="s">
        <v>15</v>
      </c>
      <c r="F377" s="5" t="s">
        <v>289</v>
      </c>
      <c r="G377" s="105">
        <v>34.340000000000003</v>
      </c>
      <c r="H377" s="8">
        <f t="shared" si="7"/>
        <v>755.48</v>
      </c>
    </row>
    <row r="378" spans="2:8" ht="38.25">
      <c r="B378" s="256" t="s">
        <v>2481</v>
      </c>
      <c r="C378" s="251" t="s">
        <v>634</v>
      </c>
      <c r="D378" s="3" t="s">
        <v>635</v>
      </c>
      <c r="E378" s="4" t="s">
        <v>37</v>
      </c>
      <c r="F378" s="5" t="s">
        <v>607</v>
      </c>
      <c r="G378" s="105">
        <v>7.8</v>
      </c>
      <c r="H378" s="8">
        <f t="shared" si="7"/>
        <v>1170</v>
      </c>
    </row>
    <row r="379" spans="2:8" ht="38.25">
      <c r="B379" s="256" t="s">
        <v>2482</v>
      </c>
      <c r="C379" s="251" t="s">
        <v>636</v>
      </c>
      <c r="D379" s="3" t="s">
        <v>637</v>
      </c>
      <c r="E379" s="4" t="s">
        <v>37</v>
      </c>
      <c r="F379" s="5" t="s">
        <v>14</v>
      </c>
      <c r="G379" s="105">
        <v>13.91</v>
      </c>
      <c r="H379" s="8">
        <f t="shared" si="7"/>
        <v>139.1</v>
      </c>
    </row>
    <row r="380" spans="2:8" ht="38.25">
      <c r="B380" s="256" t="s">
        <v>2483</v>
      </c>
      <c r="C380" s="251" t="s">
        <v>638</v>
      </c>
      <c r="D380" s="3" t="s">
        <v>639</v>
      </c>
      <c r="E380" s="4" t="s">
        <v>37</v>
      </c>
      <c r="F380" s="5" t="s">
        <v>14</v>
      </c>
      <c r="G380" s="105">
        <v>13.97</v>
      </c>
      <c r="H380" s="8">
        <f t="shared" si="7"/>
        <v>139.70000000000002</v>
      </c>
    </row>
    <row r="381" spans="2:8" ht="38.25">
      <c r="B381" s="256" t="s">
        <v>2484</v>
      </c>
      <c r="C381" s="251" t="s">
        <v>640</v>
      </c>
      <c r="D381" s="3" t="s">
        <v>641</v>
      </c>
      <c r="E381" s="4" t="s">
        <v>37</v>
      </c>
      <c r="F381" s="5" t="s">
        <v>14</v>
      </c>
      <c r="G381" s="105">
        <v>22.21</v>
      </c>
      <c r="H381" s="8">
        <f t="shared" si="7"/>
        <v>222.10000000000002</v>
      </c>
    </row>
    <row r="382" spans="2:8" ht="38.25">
      <c r="B382" s="256" t="s">
        <v>2485</v>
      </c>
      <c r="C382" s="251" t="s">
        <v>642</v>
      </c>
      <c r="D382" s="3" t="s">
        <v>643</v>
      </c>
      <c r="E382" s="4" t="s">
        <v>37</v>
      </c>
      <c r="F382" s="5" t="s">
        <v>14</v>
      </c>
      <c r="G382" s="105">
        <v>17.489999999999998</v>
      </c>
      <c r="H382" s="8">
        <f t="shared" si="7"/>
        <v>174.89999999999998</v>
      </c>
    </row>
    <row r="383" spans="2:8" ht="38.25">
      <c r="B383" s="256" t="s">
        <v>2486</v>
      </c>
      <c r="C383" s="251" t="s">
        <v>644</v>
      </c>
      <c r="D383" s="3" t="s">
        <v>645</v>
      </c>
      <c r="E383" s="4" t="s">
        <v>37</v>
      </c>
      <c r="F383" s="5" t="s">
        <v>516</v>
      </c>
      <c r="G383" s="105">
        <v>27.71</v>
      </c>
      <c r="H383" s="8">
        <f t="shared" si="7"/>
        <v>554.20000000000005</v>
      </c>
    </row>
    <row r="384" spans="2:8" ht="38.25">
      <c r="B384" s="256" t="s">
        <v>2487</v>
      </c>
      <c r="C384" s="251" t="s">
        <v>647</v>
      </c>
      <c r="D384" s="3" t="s">
        <v>648</v>
      </c>
      <c r="E384" s="4" t="s">
        <v>37</v>
      </c>
      <c r="F384" s="5" t="s">
        <v>588</v>
      </c>
      <c r="G384" s="105">
        <v>59.01</v>
      </c>
      <c r="H384" s="8">
        <f t="shared" si="7"/>
        <v>295.05</v>
      </c>
    </row>
    <row r="385" spans="2:8" ht="51">
      <c r="B385" s="256" t="s">
        <v>2488</v>
      </c>
      <c r="C385" s="251" t="s">
        <v>649</v>
      </c>
      <c r="D385" s="3" t="s">
        <v>650</v>
      </c>
      <c r="E385" s="4" t="s">
        <v>37</v>
      </c>
      <c r="F385" s="5" t="s">
        <v>651</v>
      </c>
      <c r="G385" s="105">
        <v>11.07</v>
      </c>
      <c r="H385" s="8">
        <f t="shared" si="7"/>
        <v>1328.4</v>
      </c>
    </row>
    <row r="386" spans="2:8" ht="51">
      <c r="B386" s="256" t="s">
        <v>2489</v>
      </c>
      <c r="C386" s="251" t="s">
        <v>652</v>
      </c>
      <c r="D386" s="3" t="s">
        <v>653</v>
      </c>
      <c r="E386" s="4" t="s">
        <v>37</v>
      </c>
      <c r="F386" s="5" t="s">
        <v>593</v>
      </c>
      <c r="G386" s="105">
        <v>26.46</v>
      </c>
      <c r="H386" s="8">
        <f t="shared" si="7"/>
        <v>185.22</v>
      </c>
    </row>
    <row r="387" spans="2:8" ht="51">
      <c r="B387" s="256" t="s">
        <v>2490</v>
      </c>
      <c r="C387" s="251" t="s">
        <v>654</v>
      </c>
      <c r="D387" s="3" t="s">
        <v>655</v>
      </c>
      <c r="E387" s="4" t="s">
        <v>37</v>
      </c>
      <c r="F387" s="5" t="s">
        <v>611</v>
      </c>
      <c r="G387" s="105">
        <v>27.86</v>
      </c>
      <c r="H387" s="8">
        <f t="shared" si="7"/>
        <v>222.88</v>
      </c>
    </row>
    <row r="388" spans="2:8" ht="51">
      <c r="B388" s="256" t="s">
        <v>2491</v>
      </c>
      <c r="C388" s="251" t="s">
        <v>656</v>
      </c>
      <c r="D388" s="3" t="s">
        <v>657</v>
      </c>
      <c r="E388" s="4" t="s">
        <v>37</v>
      </c>
      <c r="F388" s="5" t="s">
        <v>358</v>
      </c>
      <c r="G388" s="105">
        <v>66.06</v>
      </c>
      <c r="H388" s="8">
        <f t="shared" si="7"/>
        <v>198.18</v>
      </c>
    </row>
    <row r="389" spans="2:8" ht="15" customHeight="1">
      <c r="B389" s="256"/>
      <c r="C389" s="251"/>
      <c r="D389" s="274" t="s">
        <v>1185</v>
      </c>
      <c r="E389" s="275"/>
      <c r="F389" s="276"/>
      <c r="G389" s="276"/>
      <c r="H389" s="277">
        <f>SUM(H352:H388)</f>
        <v>28805.423261050557</v>
      </c>
    </row>
    <row r="390" spans="2:8" ht="15" customHeight="1">
      <c r="B390" s="250" t="s">
        <v>658</v>
      </c>
      <c r="C390" s="250"/>
      <c r="D390" s="268" t="s">
        <v>659</v>
      </c>
      <c r="E390" s="281"/>
      <c r="F390" s="281"/>
      <c r="G390" s="281"/>
      <c r="H390" s="282" t="s">
        <v>1155</v>
      </c>
    </row>
    <row r="391" spans="2:8" ht="25.5">
      <c r="B391" s="256" t="s">
        <v>2492</v>
      </c>
      <c r="C391" s="251" t="s">
        <v>660</v>
      </c>
      <c r="D391" s="3" t="s">
        <v>1892</v>
      </c>
      <c r="E391" s="4" t="s">
        <v>37</v>
      </c>
      <c r="F391" s="5" t="s">
        <v>661</v>
      </c>
      <c r="G391" s="105">
        <v>292.10000000000002</v>
      </c>
      <c r="H391" s="8">
        <f t="shared" si="7"/>
        <v>13728.7</v>
      </c>
    </row>
    <row r="392" spans="2:8" ht="25.5">
      <c r="B392" s="256" t="s">
        <v>2493</v>
      </c>
      <c r="C392" s="251" t="s">
        <v>2838</v>
      </c>
      <c r="D392" s="3" t="s">
        <v>1862</v>
      </c>
      <c r="E392" s="4" t="s">
        <v>37</v>
      </c>
      <c r="F392" s="5" t="s">
        <v>38</v>
      </c>
      <c r="G392" s="105">
        <v>1039.5</v>
      </c>
      <c r="H392" s="8">
        <f t="shared" si="7"/>
        <v>1039.5</v>
      </c>
    </row>
    <row r="393" spans="2:8" ht="38.25">
      <c r="B393" s="256" t="s">
        <v>2494</v>
      </c>
      <c r="C393" s="251" t="s">
        <v>662</v>
      </c>
      <c r="D393" s="3" t="s">
        <v>1863</v>
      </c>
      <c r="E393" s="4" t="s">
        <v>663</v>
      </c>
      <c r="F393" s="5" t="s">
        <v>14</v>
      </c>
      <c r="G393" s="105">
        <v>359.38</v>
      </c>
      <c r="H393" s="8">
        <f t="shared" si="7"/>
        <v>3593.8</v>
      </c>
    </row>
    <row r="394" spans="2:8" ht="51">
      <c r="B394" s="256" t="s">
        <v>2495</v>
      </c>
      <c r="C394" s="251" t="s">
        <v>2839</v>
      </c>
      <c r="D394" s="3" t="s">
        <v>664</v>
      </c>
      <c r="E394" s="4" t="s">
        <v>37</v>
      </c>
      <c r="F394" s="5" t="s">
        <v>43</v>
      </c>
      <c r="G394" s="105">
        <v>101.43</v>
      </c>
      <c r="H394" s="8">
        <f t="shared" si="7"/>
        <v>3245.76</v>
      </c>
    </row>
    <row r="395" spans="2:8" ht="25.5">
      <c r="B395" s="256" t="s">
        <v>2496</v>
      </c>
      <c r="C395" s="251" t="s">
        <v>2840</v>
      </c>
      <c r="D395" s="214" t="s">
        <v>2220</v>
      </c>
      <c r="E395" s="4" t="s">
        <v>37</v>
      </c>
      <c r="F395" s="5" t="s">
        <v>575</v>
      </c>
      <c r="G395" s="105">
        <v>246.89</v>
      </c>
      <c r="H395" s="8">
        <f t="shared" si="7"/>
        <v>2222.0099999999998</v>
      </c>
    </row>
    <row r="396" spans="2:8" ht="38.25">
      <c r="B396" s="256" t="s">
        <v>2497</v>
      </c>
      <c r="C396" s="251" t="s">
        <v>2197</v>
      </c>
      <c r="D396" s="3" t="s">
        <v>665</v>
      </c>
      <c r="E396" s="4" t="s">
        <v>37</v>
      </c>
      <c r="F396" s="5" t="s">
        <v>575</v>
      </c>
      <c r="G396" s="105">
        <f>CPU!H969</f>
        <v>2770.5530488353697</v>
      </c>
      <c r="H396" s="8">
        <f t="shared" si="7"/>
        <v>24934.977439518327</v>
      </c>
    </row>
    <row r="397" spans="2:8" ht="51" customHeight="1">
      <c r="B397" s="256" t="s">
        <v>2498</v>
      </c>
      <c r="C397" s="251" t="s">
        <v>2198</v>
      </c>
      <c r="D397" s="3" t="s">
        <v>666</v>
      </c>
      <c r="E397" s="4" t="s">
        <v>37</v>
      </c>
      <c r="F397" s="5" t="s">
        <v>667</v>
      </c>
      <c r="G397" s="105">
        <f>CPU!H979</f>
        <v>564.60815669345004</v>
      </c>
      <c r="H397" s="8">
        <f t="shared" si="7"/>
        <v>7339.9060370148509</v>
      </c>
    </row>
    <row r="398" spans="2:8" ht="38.25">
      <c r="B398" s="256" t="s">
        <v>2499</v>
      </c>
      <c r="C398" s="251" t="s">
        <v>668</v>
      </c>
      <c r="D398" s="3" t="s">
        <v>669</v>
      </c>
      <c r="E398" s="4" t="s">
        <v>37</v>
      </c>
      <c r="F398" s="5" t="s">
        <v>289</v>
      </c>
      <c r="G398" s="105">
        <v>105.18</v>
      </c>
      <c r="H398" s="8">
        <f t="shared" si="7"/>
        <v>2313.96</v>
      </c>
    </row>
    <row r="399" spans="2:8" ht="63.75">
      <c r="B399" s="256" t="s">
        <v>2500</v>
      </c>
      <c r="C399" s="251" t="s">
        <v>670</v>
      </c>
      <c r="D399" s="3" t="s">
        <v>671</v>
      </c>
      <c r="E399" s="4" t="s">
        <v>37</v>
      </c>
      <c r="F399" s="5" t="s">
        <v>38</v>
      </c>
      <c r="G399" s="105">
        <v>710.49</v>
      </c>
      <c r="H399" s="8">
        <f t="shared" si="7"/>
        <v>710.49</v>
      </c>
    </row>
    <row r="400" spans="2:8" ht="51">
      <c r="B400" s="256" t="s">
        <v>2501</v>
      </c>
      <c r="C400" s="251" t="s">
        <v>672</v>
      </c>
      <c r="D400" s="3" t="s">
        <v>673</v>
      </c>
      <c r="E400" s="4" t="s">
        <v>37</v>
      </c>
      <c r="F400" s="5" t="s">
        <v>674</v>
      </c>
      <c r="G400" s="105">
        <v>436.4</v>
      </c>
      <c r="H400" s="8">
        <f t="shared" si="7"/>
        <v>19638</v>
      </c>
    </row>
    <row r="401" spans="2:8" ht="51">
      <c r="B401" s="256" t="s">
        <v>2502</v>
      </c>
      <c r="C401" s="251" t="s">
        <v>675</v>
      </c>
      <c r="D401" s="3" t="s">
        <v>676</v>
      </c>
      <c r="E401" s="4" t="s">
        <v>37</v>
      </c>
      <c r="F401" s="5">
        <v>14</v>
      </c>
      <c r="G401" s="105">
        <v>420.98</v>
      </c>
      <c r="H401" s="8">
        <f t="shared" si="7"/>
        <v>5893.72</v>
      </c>
    </row>
    <row r="402" spans="2:8" ht="51">
      <c r="B402" s="256" t="s">
        <v>2503</v>
      </c>
      <c r="C402" s="251" t="s">
        <v>677</v>
      </c>
      <c r="D402" s="3" t="s">
        <v>678</v>
      </c>
      <c r="E402" s="4" t="s">
        <v>37</v>
      </c>
      <c r="F402" s="5" t="s">
        <v>28</v>
      </c>
      <c r="G402" s="105">
        <v>348.65</v>
      </c>
      <c r="H402" s="8">
        <f t="shared" si="7"/>
        <v>15340.599999999999</v>
      </c>
    </row>
    <row r="403" spans="2:8" ht="63.75">
      <c r="B403" s="256" t="s">
        <v>2504</v>
      </c>
      <c r="C403" s="251" t="s">
        <v>679</v>
      </c>
      <c r="D403" s="3" t="s">
        <v>680</v>
      </c>
      <c r="E403" s="4" t="s">
        <v>37</v>
      </c>
      <c r="F403" s="5" t="s">
        <v>358</v>
      </c>
      <c r="G403" s="105">
        <v>216</v>
      </c>
      <c r="H403" s="8">
        <f t="shared" si="7"/>
        <v>648</v>
      </c>
    </row>
    <row r="404" spans="2:8" ht="38.25">
      <c r="B404" s="256" t="s">
        <v>2505</v>
      </c>
      <c r="C404" s="251" t="s">
        <v>681</v>
      </c>
      <c r="D404" s="3" t="s">
        <v>682</v>
      </c>
      <c r="E404" s="4" t="s">
        <v>37</v>
      </c>
      <c r="F404" s="5" t="s">
        <v>683</v>
      </c>
      <c r="G404" s="105">
        <v>90.91</v>
      </c>
      <c r="H404" s="8">
        <f t="shared" si="7"/>
        <v>2727.2999999999997</v>
      </c>
    </row>
    <row r="405" spans="2:8" ht="51">
      <c r="B405" s="256" t="s">
        <v>2506</v>
      </c>
      <c r="C405" s="251" t="s">
        <v>684</v>
      </c>
      <c r="D405" s="3" t="s">
        <v>685</v>
      </c>
      <c r="E405" s="4" t="s">
        <v>37</v>
      </c>
      <c r="F405" s="5" t="s">
        <v>575</v>
      </c>
      <c r="G405" s="105">
        <v>618.05999999999995</v>
      </c>
      <c r="H405" s="8">
        <f t="shared" si="7"/>
        <v>5562.5399999999991</v>
      </c>
    </row>
    <row r="406" spans="2:8" ht="25.5">
      <c r="B406" s="256" t="s">
        <v>2507</v>
      </c>
      <c r="C406" s="251" t="s">
        <v>686</v>
      </c>
      <c r="D406" s="3" t="s">
        <v>687</v>
      </c>
      <c r="E406" s="4" t="s">
        <v>37</v>
      </c>
      <c r="F406" s="5" t="s">
        <v>688</v>
      </c>
      <c r="G406" s="105">
        <v>32.04</v>
      </c>
      <c r="H406" s="8">
        <f t="shared" si="7"/>
        <v>1730.1599999999999</v>
      </c>
    </row>
    <row r="407" spans="2:8" ht="38.25">
      <c r="B407" s="256" t="s">
        <v>2508</v>
      </c>
      <c r="C407" s="251" t="s">
        <v>689</v>
      </c>
      <c r="D407" s="3" t="s">
        <v>690</v>
      </c>
      <c r="E407" s="4" t="s">
        <v>37</v>
      </c>
      <c r="F407" s="5" t="s">
        <v>43</v>
      </c>
      <c r="G407" s="105">
        <v>71.27</v>
      </c>
      <c r="H407" s="8">
        <f t="shared" si="7"/>
        <v>2280.64</v>
      </c>
    </row>
    <row r="408" spans="2:8" s="212" customFormat="1" ht="15" customHeight="1">
      <c r="B408" s="250" t="s">
        <v>691</v>
      </c>
      <c r="C408" s="250"/>
      <c r="D408" s="268" t="s">
        <v>692</v>
      </c>
      <c r="E408" s="268"/>
      <c r="F408" s="268"/>
      <c r="G408" s="268"/>
      <c r="H408" s="271" t="s">
        <v>1155</v>
      </c>
    </row>
    <row r="409" spans="2:8" ht="25.5" customHeight="1">
      <c r="B409" s="256" t="s">
        <v>2509</v>
      </c>
      <c r="C409" s="251" t="s">
        <v>2199</v>
      </c>
      <c r="D409" s="214" t="s">
        <v>693</v>
      </c>
      <c r="E409" s="4" t="s">
        <v>37</v>
      </c>
      <c r="F409" s="5" t="s">
        <v>367</v>
      </c>
      <c r="G409" s="105">
        <f>CPU!H985</f>
        <v>1842.0680985432602</v>
      </c>
      <c r="H409" s="8">
        <f t="shared" si="7"/>
        <v>3684.1361970865205</v>
      </c>
    </row>
    <row r="410" spans="2:8" ht="15.75" customHeight="1">
      <c r="B410" s="256" t="s">
        <v>2510</v>
      </c>
      <c r="C410" s="251" t="s">
        <v>2221</v>
      </c>
      <c r="D410" s="214" t="s">
        <v>694</v>
      </c>
      <c r="E410" s="4" t="s">
        <v>37</v>
      </c>
      <c r="F410" s="5" t="s">
        <v>367</v>
      </c>
      <c r="G410" s="105">
        <v>73.02</v>
      </c>
      <c r="H410" s="8">
        <f t="shared" si="7"/>
        <v>146.04</v>
      </c>
    </row>
    <row r="411" spans="2:8" ht="15" customHeight="1">
      <c r="B411" s="256"/>
      <c r="C411" s="251"/>
      <c r="D411" s="274" t="s">
        <v>1186</v>
      </c>
      <c r="E411" s="275"/>
      <c r="F411" s="276"/>
      <c r="G411" s="276"/>
      <c r="H411" s="277">
        <f>SUM(H391:H410)</f>
        <v>116780.2396736197</v>
      </c>
    </row>
    <row r="412" spans="2:8" s="212" customFormat="1" ht="15" customHeight="1">
      <c r="B412" s="244" t="s">
        <v>695</v>
      </c>
      <c r="C412" s="244"/>
      <c r="D412" s="245" t="s">
        <v>696</v>
      </c>
      <c r="E412" s="245"/>
      <c r="F412" s="245"/>
      <c r="G412" s="245"/>
      <c r="H412" s="279" t="s">
        <v>1155</v>
      </c>
    </row>
    <row r="413" spans="2:8" s="212" customFormat="1" ht="15" customHeight="1">
      <c r="B413" s="250" t="s">
        <v>697</v>
      </c>
      <c r="C413" s="250"/>
      <c r="D413" s="268" t="s">
        <v>698</v>
      </c>
      <c r="E413" s="268"/>
      <c r="F413" s="268"/>
      <c r="G413" s="268"/>
      <c r="H413" s="271" t="s">
        <v>1155</v>
      </c>
    </row>
    <row r="414" spans="2:8" ht="38.25">
      <c r="B414" s="256" t="s">
        <v>2511</v>
      </c>
      <c r="C414" s="251" t="s">
        <v>2200</v>
      </c>
      <c r="D414" s="3" t="s">
        <v>699</v>
      </c>
      <c r="E414" s="4" t="s">
        <v>24</v>
      </c>
      <c r="F414" s="5" t="s">
        <v>700</v>
      </c>
      <c r="G414" s="105">
        <f>CPU!H993</f>
        <v>21.350875880640004</v>
      </c>
      <c r="H414" s="8">
        <f t="shared" si="7"/>
        <v>1558.6139392867203</v>
      </c>
    </row>
    <row r="415" spans="2:8" ht="25.5" customHeight="1">
      <c r="B415" s="256" t="s">
        <v>2512</v>
      </c>
      <c r="C415" s="251" t="s">
        <v>2069</v>
      </c>
      <c r="D415" s="214" t="s">
        <v>701</v>
      </c>
      <c r="E415" s="4" t="s">
        <v>37</v>
      </c>
      <c r="F415" s="5" t="s">
        <v>588</v>
      </c>
      <c r="G415" s="105">
        <f>CPU!H999</f>
        <v>40.975000000000001</v>
      </c>
      <c r="H415" s="8">
        <f t="shared" si="7"/>
        <v>204.875</v>
      </c>
    </row>
    <row r="416" spans="2:8" ht="25.5" customHeight="1">
      <c r="B416" s="256" t="s">
        <v>2513</v>
      </c>
      <c r="C416" s="251" t="s">
        <v>2070</v>
      </c>
      <c r="D416" s="214" t="s">
        <v>702</v>
      </c>
      <c r="E416" s="4" t="s">
        <v>37</v>
      </c>
      <c r="F416" s="5" t="s">
        <v>703</v>
      </c>
      <c r="G416" s="105">
        <f>CPU!H1005</f>
        <v>47.394999999999996</v>
      </c>
      <c r="H416" s="8">
        <f t="shared" si="7"/>
        <v>2938.49</v>
      </c>
    </row>
    <row r="417" spans="2:8" ht="38.25">
      <c r="B417" s="256" t="s">
        <v>2514</v>
      </c>
      <c r="C417" s="251" t="s">
        <v>2222</v>
      </c>
      <c r="D417" s="3" t="s">
        <v>2226</v>
      </c>
      <c r="E417" s="4" t="s">
        <v>15</v>
      </c>
      <c r="F417" s="5" t="s">
        <v>704</v>
      </c>
      <c r="G417" s="105">
        <v>46.39</v>
      </c>
      <c r="H417" s="8">
        <f t="shared" si="7"/>
        <v>10669.7</v>
      </c>
    </row>
    <row r="418" spans="2:8" ht="38.25">
      <c r="B418" s="256" t="s">
        <v>2515</v>
      </c>
      <c r="C418" s="251" t="s">
        <v>2223</v>
      </c>
      <c r="D418" s="3" t="s">
        <v>2227</v>
      </c>
      <c r="E418" s="4" t="s">
        <v>15</v>
      </c>
      <c r="F418" s="5" t="s">
        <v>705</v>
      </c>
      <c r="G418" s="105">
        <v>97.06</v>
      </c>
      <c r="H418" s="8">
        <f t="shared" si="7"/>
        <v>29215.06</v>
      </c>
    </row>
    <row r="419" spans="2:8" ht="38.25">
      <c r="B419" s="256" t="s">
        <v>2516</v>
      </c>
      <c r="C419" s="251" t="s">
        <v>2224</v>
      </c>
      <c r="D419" s="3" t="s">
        <v>2228</v>
      </c>
      <c r="E419" s="4" t="s">
        <v>15</v>
      </c>
      <c r="F419" s="5" t="s">
        <v>706</v>
      </c>
      <c r="G419" s="105">
        <v>144.38</v>
      </c>
      <c r="H419" s="8">
        <f t="shared" si="7"/>
        <v>5919.58</v>
      </c>
    </row>
    <row r="420" spans="2:8" ht="38.25">
      <c r="B420" s="256" t="s">
        <v>2517</v>
      </c>
      <c r="C420" s="251" t="s">
        <v>2225</v>
      </c>
      <c r="D420" s="3" t="s">
        <v>2229</v>
      </c>
      <c r="E420" s="4" t="s">
        <v>15</v>
      </c>
      <c r="F420" s="5" t="s">
        <v>707</v>
      </c>
      <c r="G420" s="105">
        <v>243.73</v>
      </c>
      <c r="H420" s="8">
        <f t="shared" si="7"/>
        <v>50208.38</v>
      </c>
    </row>
    <row r="421" spans="2:8" s="212" customFormat="1" ht="15" customHeight="1">
      <c r="B421" s="250" t="s">
        <v>708</v>
      </c>
      <c r="C421" s="250"/>
      <c r="D421" s="268" t="s">
        <v>709</v>
      </c>
      <c r="E421" s="268"/>
      <c r="F421" s="268"/>
      <c r="G421" s="268"/>
      <c r="H421" s="271" t="s">
        <v>1155</v>
      </c>
    </row>
    <row r="422" spans="2:8" ht="51">
      <c r="B422" s="256" t="s">
        <v>2518</v>
      </c>
      <c r="C422" s="251" t="s">
        <v>710</v>
      </c>
      <c r="D422" s="3" t="s">
        <v>711</v>
      </c>
      <c r="E422" s="4" t="s">
        <v>37</v>
      </c>
      <c r="F422" s="5" t="s">
        <v>712</v>
      </c>
      <c r="G422" s="105">
        <v>432.79</v>
      </c>
      <c r="H422" s="8">
        <f t="shared" si="7"/>
        <v>8223.01</v>
      </c>
    </row>
    <row r="423" spans="2:8" ht="51">
      <c r="B423" s="256" t="s">
        <v>2519</v>
      </c>
      <c r="C423" s="251" t="s">
        <v>713</v>
      </c>
      <c r="D423" s="3" t="s">
        <v>714</v>
      </c>
      <c r="E423" s="4" t="s">
        <v>37</v>
      </c>
      <c r="F423" s="5" t="s">
        <v>715</v>
      </c>
      <c r="G423" s="105">
        <v>728.49</v>
      </c>
      <c r="H423" s="8">
        <f t="shared" si="7"/>
        <v>8013.39</v>
      </c>
    </row>
    <row r="424" spans="2:8" s="212" customFormat="1" ht="15" customHeight="1">
      <c r="B424" s="250" t="s">
        <v>716</v>
      </c>
      <c r="C424" s="250"/>
      <c r="D424" s="268" t="s">
        <v>717</v>
      </c>
      <c r="E424" s="268"/>
      <c r="F424" s="268"/>
      <c r="G424" s="268"/>
      <c r="H424" s="271" t="s">
        <v>1155</v>
      </c>
    </row>
    <row r="425" spans="2:8" ht="26.25" customHeight="1">
      <c r="B425" s="256" t="s">
        <v>2520</v>
      </c>
      <c r="C425" s="251" t="s">
        <v>718</v>
      </c>
      <c r="D425" s="3" t="s">
        <v>719</v>
      </c>
      <c r="E425" s="4" t="s">
        <v>75</v>
      </c>
      <c r="F425" s="5" t="s">
        <v>720</v>
      </c>
      <c r="G425" s="105">
        <v>73.77</v>
      </c>
      <c r="H425" s="8">
        <f t="shared" si="7"/>
        <v>16819.559999999998</v>
      </c>
    </row>
    <row r="426" spans="2:8" ht="25.5">
      <c r="B426" s="256" t="s">
        <v>2521</v>
      </c>
      <c r="C426" s="251" t="s">
        <v>133</v>
      </c>
      <c r="D426" s="214" t="s">
        <v>134</v>
      </c>
      <c r="E426" s="4" t="s">
        <v>75</v>
      </c>
      <c r="F426" s="5" t="s">
        <v>721</v>
      </c>
      <c r="G426" s="105">
        <v>44.73</v>
      </c>
      <c r="H426" s="8">
        <f t="shared" si="7"/>
        <v>9393.2999999999993</v>
      </c>
    </row>
    <row r="427" spans="2:8" ht="24.95" customHeight="1">
      <c r="B427" s="250" t="s">
        <v>2522</v>
      </c>
      <c r="C427" s="250"/>
      <c r="D427" s="281" t="s">
        <v>2730</v>
      </c>
      <c r="E427" s="288"/>
      <c r="F427" s="289"/>
      <c r="G427" s="289"/>
      <c r="H427" s="282"/>
    </row>
    <row r="428" spans="2:8" ht="25.5">
      <c r="B428" s="256" t="s">
        <v>2523</v>
      </c>
      <c r="C428" s="251" t="s">
        <v>2071</v>
      </c>
      <c r="D428" s="219" t="s">
        <v>1895</v>
      </c>
      <c r="E428" s="4" t="s">
        <v>15</v>
      </c>
      <c r="F428" s="5">
        <v>185.14</v>
      </c>
      <c r="G428" s="105">
        <f>CPU!H1014</f>
        <v>202.60160400000001</v>
      </c>
      <c r="H428" s="8">
        <f t="shared" ref="H428:H433" si="8">F428*G428</f>
        <v>37509.660964559997</v>
      </c>
    </row>
    <row r="429" spans="2:8" ht="25.5">
      <c r="B429" s="256" t="s">
        <v>2524</v>
      </c>
      <c r="C429" s="251" t="s">
        <v>2072</v>
      </c>
      <c r="D429" s="219" t="s">
        <v>1901</v>
      </c>
      <c r="E429" s="4" t="s">
        <v>663</v>
      </c>
      <c r="F429" s="5">
        <v>1</v>
      </c>
      <c r="G429" s="105">
        <f>CPU!H1039</f>
        <v>169458.88212600967</v>
      </c>
      <c r="H429" s="8">
        <f t="shared" si="8"/>
        <v>169458.88212600967</v>
      </c>
    </row>
    <row r="430" spans="2:8" ht="25.5">
      <c r="B430" s="256" t="s">
        <v>2525</v>
      </c>
      <c r="C430" s="251" t="s">
        <v>2077</v>
      </c>
      <c r="D430" s="219" t="s">
        <v>1910</v>
      </c>
      <c r="E430" s="4" t="s">
        <v>15</v>
      </c>
      <c r="F430" s="5">
        <v>198.35</v>
      </c>
      <c r="G430" s="105">
        <f>CPU!H1052</f>
        <v>412.91848369999997</v>
      </c>
      <c r="H430" s="8">
        <f t="shared" si="8"/>
        <v>81902.381241894996</v>
      </c>
    </row>
    <row r="431" spans="2:8" ht="25.5">
      <c r="B431" s="256" t="s">
        <v>2526</v>
      </c>
      <c r="C431" s="251" t="s">
        <v>2078</v>
      </c>
      <c r="D431" s="219" t="s">
        <v>1914</v>
      </c>
      <c r="E431" s="4" t="s">
        <v>37</v>
      </c>
      <c r="F431" s="5">
        <v>21</v>
      </c>
      <c r="G431" s="105">
        <f>CPU!H1062</f>
        <v>946.8460874000001</v>
      </c>
      <c r="H431" s="8">
        <f t="shared" si="8"/>
        <v>19883.767835400002</v>
      </c>
    </row>
    <row r="432" spans="2:8" ht="25.5">
      <c r="B432" s="256" t="s">
        <v>2527</v>
      </c>
      <c r="C432" s="251" t="s">
        <v>2081</v>
      </c>
      <c r="D432" s="219" t="s">
        <v>1921</v>
      </c>
      <c r="E432" s="4" t="s">
        <v>15</v>
      </c>
      <c r="F432" s="5">
        <v>26.5</v>
      </c>
      <c r="G432" s="105">
        <f>CPU!H1073</f>
        <v>261.55309999999997</v>
      </c>
      <c r="H432" s="8">
        <f t="shared" si="8"/>
        <v>6931.1571499999991</v>
      </c>
    </row>
    <row r="433" spans="2:8" ht="51">
      <c r="B433" s="256" t="s">
        <v>2528</v>
      </c>
      <c r="C433" s="251" t="s">
        <v>2087</v>
      </c>
      <c r="D433" s="219" t="s">
        <v>1926</v>
      </c>
      <c r="E433" s="4" t="s">
        <v>15</v>
      </c>
      <c r="F433" s="5">
        <v>26.5</v>
      </c>
      <c r="G433" s="105">
        <f>CPU!H1080</f>
        <v>522.83273999999994</v>
      </c>
      <c r="H433" s="8">
        <f t="shared" si="8"/>
        <v>13855.067609999998</v>
      </c>
    </row>
    <row r="434" spans="2:8" ht="15" customHeight="1">
      <c r="B434" s="256"/>
      <c r="C434" s="278"/>
      <c r="D434" s="274" t="s">
        <v>1187</v>
      </c>
      <c r="E434" s="275"/>
      <c r="F434" s="276"/>
      <c r="G434" s="276"/>
      <c r="H434" s="277">
        <f>SUM(H414:H433)</f>
        <v>472704.87586715131</v>
      </c>
    </row>
    <row r="435" spans="2:8" s="212" customFormat="1" ht="15" customHeight="1">
      <c r="B435" s="244" t="s">
        <v>722</v>
      </c>
      <c r="C435" s="244"/>
      <c r="D435" s="245" t="s">
        <v>723</v>
      </c>
      <c r="E435" s="245"/>
      <c r="F435" s="245"/>
      <c r="G435" s="245"/>
      <c r="H435" s="279" t="s">
        <v>1155</v>
      </c>
    </row>
    <row r="436" spans="2:8" s="212" customFormat="1" ht="15" customHeight="1">
      <c r="B436" s="250" t="s">
        <v>724</v>
      </c>
      <c r="C436" s="250"/>
      <c r="D436" s="268" t="s">
        <v>698</v>
      </c>
      <c r="E436" s="268"/>
      <c r="F436" s="268"/>
      <c r="G436" s="268"/>
      <c r="H436" s="271" t="s">
        <v>1155</v>
      </c>
    </row>
    <row r="437" spans="2:8" ht="25.5">
      <c r="B437" s="256" t="s">
        <v>2529</v>
      </c>
      <c r="C437" s="251" t="s">
        <v>2088</v>
      </c>
      <c r="D437" s="3" t="s">
        <v>725</v>
      </c>
      <c r="E437" s="4" t="s">
        <v>37</v>
      </c>
      <c r="F437" s="5" t="s">
        <v>367</v>
      </c>
      <c r="G437" s="105">
        <f>CPU!H1088</f>
        <v>65.198453500279996</v>
      </c>
      <c r="H437" s="8">
        <f t="shared" si="7"/>
        <v>130.39690700055999</v>
      </c>
    </row>
    <row r="438" spans="2:8" ht="25.5">
      <c r="B438" s="256" t="s">
        <v>2530</v>
      </c>
      <c r="C438" s="251" t="s">
        <v>2201</v>
      </c>
      <c r="D438" s="3" t="s">
        <v>726</v>
      </c>
      <c r="E438" s="4" t="s">
        <v>37</v>
      </c>
      <c r="F438" s="5" t="s">
        <v>611</v>
      </c>
      <c r="G438" s="105">
        <f>CPU!H1096</f>
        <v>17.856549999999999</v>
      </c>
      <c r="H438" s="8">
        <f t="shared" si="7"/>
        <v>142.85239999999999</v>
      </c>
    </row>
    <row r="439" spans="2:8" ht="38.25">
      <c r="B439" s="256" t="s">
        <v>2531</v>
      </c>
      <c r="C439" s="251" t="s">
        <v>727</v>
      </c>
      <c r="D439" s="3" t="s">
        <v>728</v>
      </c>
      <c r="E439" s="4" t="s">
        <v>37</v>
      </c>
      <c r="F439" s="5" t="s">
        <v>729</v>
      </c>
      <c r="G439" s="105">
        <v>15.04</v>
      </c>
      <c r="H439" s="8">
        <f t="shared" si="7"/>
        <v>1383.6799999999998</v>
      </c>
    </row>
    <row r="440" spans="2:8" ht="38.25">
      <c r="B440" s="256" t="s">
        <v>2532</v>
      </c>
      <c r="C440" s="251" t="s">
        <v>730</v>
      </c>
      <c r="D440" s="3" t="s">
        <v>731</v>
      </c>
      <c r="E440" s="4" t="s">
        <v>37</v>
      </c>
      <c r="F440" s="5" t="s">
        <v>732</v>
      </c>
      <c r="G440" s="105">
        <v>21.09</v>
      </c>
      <c r="H440" s="8">
        <f t="shared" ref="H440:H505" si="9">F440*G440</f>
        <v>970.14</v>
      </c>
    </row>
    <row r="441" spans="2:8" ht="38.25">
      <c r="B441" s="256" t="s">
        <v>2533</v>
      </c>
      <c r="C441" s="251" t="s">
        <v>733</v>
      </c>
      <c r="D441" s="3" t="s">
        <v>734</v>
      </c>
      <c r="E441" s="4" t="s">
        <v>37</v>
      </c>
      <c r="F441" s="5" t="s">
        <v>735</v>
      </c>
      <c r="G441" s="105">
        <v>25.95</v>
      </c>
      <c r="H441" s="8">
        <f t="shared" si="9"/>
        <v>2828.5499999999997</v>
      </c>
    </row>
    <row r="442" spans="2:8" ht="38.25">
      <c r="B442" s="256" t="s">
        <v>2534</v>
      </c>
      <c r="C442" s="251" t="s">
        <v>736</v>
      </c>
      <c r="D442" s="3" t="s">
        <v>737</v>
      </c>
      <c r="E442" s="4" t="s">
        <v>37</v>
      </c>
      <c r="F442" s="5" t="s">
        <v>14</v>
      </c>
      <c r="G442" s="105">
        <v>14.07</v>
      </c>
      <c r="H442" s="8">
        <f t="shared" si="9"/>
        <v>140.69999999999999</v>
      </c>
    </row>
    <row r="443" spans="2:8" ht="38.25" customHeight="1">
      <c r="B443" s="256" t="s">
        <v>2535</v>
      </c>
      <c r="C443" s="251" t="s">
        <v>738</v>
      </c>
      <c r="D443" s="3" t="s">
        <v>739</v>
      </c>
      <c r="E443" s="4" t="s">
        <v>37</v>
      </c>
      <c r="F443" s="5" t="s">
        <v>38</v>
      </c>
      <c r="G443" s="105">
        <v>57.73</v>
      </c>
      <c r="H443" s="8">
        <f t="shared" si="9"/>
        <v>57.73</v>
      </c>
    </row>
    <row r="444" spans="2:8" ht="39" customHeight="1">
      <c r="B444" s="256" t="s">
        <v>2536</v>
      </c>
      <c r="C444" s="251" t="s">
        <v>740</v>
      </c>
      <c r="D444" s="3" t="s">
        <v>741</v>
      </c>
      <c r="E444" s="4" t="s">
        <v>37</v>
      </c>
      <c r="F444" s="5" t="s">
        <v>742</v>
      </c>
      <c r="G444" s="105">
        <v>86.18</v>
      </c>
      <c r="H444" s="8">
        <f t="shared" si="9"/>
        <v>3274.84</v>
      </c>
    </row>
    <row r="445" spans="2:8" ht="37.5" customHeight="1">
      <c r="B445" s="256" t="s">
        <v>2537</v>
      </c>
      <c r="C445" s="251" t="s">
        <v>743</v>
      </c>
      <c r="D445" s="3" t="s">
        <v>744</v>
      </c>
      <c r="E445" s="4" t="s">
        <v>37</v>
      </c>
      <c r="F445" s="5" t="s">
        <v>358</v>
      </c>
      <c r="G445" s="105">
        <v>81.319999999999993</v>
      </c>
      <c r="H445" s="8">
        <f t="shared" si="9"/>
        <v>243.95999999999998</v>
      </c>
    </row>
    <row r="446" spans="2:8" ht="38.25">
      <c r="B446" s="256" t="s">
        <v>2538</v>
      </c>
      <c r="C446" s="251" t="s">
        <v>745</v>
      </c>
      <c r="D446" s="3" t="s">
        <v>746</v>
      </c>
      <c r="E446" s="4" t="s">
        <v>37</v>
      </c>
      <c r="F446" s="5" t="s">
        <v>614</v>
      </c>
      <c r="G446" s="105">
        <v>78.89</v>
      </c>
      <c r="H446" s="8">
        <f t="shared" si="9"/>
        <v>1656.69</v>
      </c>
    </row>
    <row r="447" spans="2:8" ht="38.25">
      <c r="B447" s="256" t="s">
        <v>2539</v>
      </c>
      <c r="C447" s="251" t="s">
        <v>747</v>
      </c>
      <c r="D447" s="3" t="s">
        <v>748</v>
      </c>
      <c r="E447" s="4" t="s">
        <v>15</v>
      </c>
      <c r="F447" s="5" t="s">
        <v>749</v>
      </c>
      <c r="G447" s="105">
        <v>19.739999999999998</v>
      </c>
      <c r="H447" s="8">
        <f t="shared" si="9"/>
        <v>3454.4999999999995</v>
      </c>
    </row>
    <row r="448" spans="2:8" ht="39" customHeight="1">
      <c r="B448" s="256" t="s">
        <v>2540</v>
      </c>
      <c r="C448" s="251" t="s">
        <v>750</v>
      </c>
      <c r="D448" s="3" t="s">
        <v>751</v>
      </c>
      <c r="E448" s="4" t="s">
        <v>15</v>
      </c>
      <c r="F448" s="5" t="s">
        <v>453</v>
      </c>
      <c r="G448" s="105">
        <v>29.86</v>
      </c>
      <c r="H448" s="8">
        <f t="shared" si="9"/>
        <v>12541.199999999999</v>
      </c>
    </row>
    <row r="449" spans="2:8" ht="39" customHeight="1">
      <c r="B449" s="256" t="s">
        <v>2541</v>
      </c>
      <c r="C449" s="251" t="s">
        <v>752</v>
      </c>
      <c r="D449" s="3" t="s">
        <v>753</v>
      </c>
      <c r="E449" s="4" t="s">
        <v>15</v>
      </c>
      <c r="F449" s="5" t="s">
        <v>754</v>
      </c>
      <c r="G449" s="105">
        <v>45.44</v>
      </c>
      <c r="H449" s="8">
        <f t="shared" si="9"/>
        <v>7270.4</v>
      </c>
    </row>
    <row r="450" spans="2:8" ht="39.75" customHeight="1">
      <c r="B450" s="256" t="s">
        <v>2542</v>
      </c>
      <c r="C450" s="251" t="s">
        <v>755</v>
      </c>
      <c r="D450" s="3" t="s">
        <v>756</v>
      </c>
      <c r="E450" s="4" t="s">
        <v>15</v>
      </c>
      <c r="F450" s="5" t="s">
        <v>757</v>
      </c>
      <c r="G450" s="105">
        <v>57.94</v>
      </c>
      <c r="H450" s="8">
        <f t="shared" si="9"/>
        <v>46641.7</v>
      </c>
    </row>
    <row r="451" spans="2:8" ht="51">
      <c r="B451" s="256" t="s">
        <v>2543</v>
      </c>
      <c r="C451" s="251" t="s">
        <v>758</v>
      </c>
      <c r="D451" s="3" t="s">
        <v>759</v>
      </c>
      <c r="E451" s="4" t="s">
        <v>37</v>
      </c>
      <c r="F451" s="5" t="s">
        <v>760</v>
      </c>
      <c r="G451" s="105">
        <v>10.52</v>
      </c>
      <c r="H451" s="8">
        <f t="shared" si="9"/>
        <v>1809.4399999999998</v>
      </c>
    </row>
    <row r="452" spans="2:8" ht="51">
      <c r="B452" s="256" t="s">
        <v>2544</v>
      </c>
      <c r="C452" s="251" t="s">
        <v>761</v>
      </c>
      <c r="D452" s="3" t="s">
        <v>762</v>
      </c>
      <c r="E452" s="4" t="s">
        <v>37</v>
      </c>
      <c r="F452" s="5" t="s">
        <v>25</v>
      </c>
      <c r="G452" s="105">
        <v>7.48</v>
      </c>
      <c r="H452" s="8">
        <f t="shared" si="9"/>
        <v>201.96</v>
      </c>
    </row>
    <row r="453" spans="2:8" ht="51">
      <c r="B453" s="256" t="s">
        <v>2545</v>
      </c>
      <c r="C453" s="251" t="s">
        <v>763</v>
      </c>
      <c r="D453" s="3" t="s">
        <v>764</v>
      </c>
      <c r="E453" s="4" t="s">
        <v>37</v>
      </c>
      <c r="F453" s="5" t="s">
        <v>765</v>
      </c>
      <c r="G453" s="105">
        <v>41.44</v>
      </c>
      <c r="H453" s="8">
        <f t="shared" si="9"/>
        <v>5180</v>
      </c>
    </row>
    <row r="454" spans="2:8" ht="51">
      <c r="B454" s="256" t="s">
        <v>2546</v>
      </c>
      <c r="C454" s="251" t="s">
        <v>766</v>
      </c>
      <c r="D454" s="3" t="s">
        <v>767</v>
      </c>
      <c r="E454" s="4" t="s">
        <v>37</v>
      </c>
      <c r="F454" s="5" t="s">
        <v>523</v>
      </c>
      <c r="G454" s="105">
        <v>7.26</v>
      </c>
      <c r="H454" s="8">
        <f t="shared" si="9"/>
        <v>660.66</v>
      </c>
    </row>
    <row r="455" spans="2:8" ht="51">
      <c r="B455" s="256" t="s">
        <v>2547</v>
      </c>
      <c r="C455" s="251" t="s">
        <v>768</v>
      </c>
      <c r="D455" s="3" t="s">
        <v>769</v>
      </c>
      <c r="E455" s="4" t="s">
        <v>37</v>
      </c>
      <c r="F455" s="5" t="s">
        <v>683</v>
      </c>
      <c r="G455" s="105">
        <v>7.98</v>
      </c>
      <c r="H455" s="8">
        <f t="shared" si="9"/>
        <v>239.4</v>
      </c>
    </row>
    <row r="456" spans="2:8" ht="51">
      <c r="B456" s="256" t="s">
        <v>2548</v>
      </c>
      <c r="C456" s="251" t="s">
        <v>770</v>
      </c>
      <c r="D456" s="3" t="s">
        <v>771</v>
      </c>
      <c r="E456" s="4" t="s">
        <v>37</v>
      </c>
      <c r="F456" s="5" t="s">
        <v>46</v>
      </c>
      <c r="G456" s="105">
        <v>14.93</v>
      </c>
      <c r="H456" s="8">
        <f t="shared" si="9"/>
        <v>238.88</v>
      </c>
    </row>
    <row r="457" spans="2:8" ht="51">
      <c r="B457" s="256" t="s">
        <v>2549</v>
      </c>
      <c r="C457" s="251" t="s">
        <v>772</v>
      </c>
      <c r="D457" s="3" t="s">
        <v>773</v>
      </c>
      <c r="E457" s="4" t="s">
        <v>37</v>
      </c>
      <c r="F457" s="5" t="s">
        <v>34</v>
      </c>
      <c r="G457" s="105">
        <v>15.96</v>
      </c>
      <c r="H457" s="8">
        <f t="shared" si="9"/>
        <v>287.28000000000003</v>
      </c>
    </row>
    <row r="458" spans="2:8" ht="51">
      <c r="B458" s="256" t="s">
        <v>2550</v>
      </c>
      <c r="C458" s="251" t="s">
        <v>774</v>
      </c>
      <c r="D458" s="3" t="s">
        <v>775</v>
      </c>
      <c r="E458" s="4" t="s">
        <v>37</v>
      </c>
      <c r="F458" s="5" t="s">
        <v>776</v>
      </c>
      <c r="G458" s="105">
        <v>19.760000000000002</v>
      </c>
      <c r="H458" s="8">
        <f t="shared" si="9"/>
        <v>1185.6000000000001</v>
      </c>
    </row>
    <row r="459" spans="2:8" s="212" customFormat="1" ht="15" customHeight="1">
      <c r="B459" s="250" t="s">
        <v>777</v>
      </c>
      <c r="C459" s="250"/>
      <c r="D459" s="268" t="s">
        <v>778</v>
      </c>
      <c r="E459" s="268"/>
      <c r="F459" s="268"/>
      <c r="G459" s="268"/>
      <c r="H459" s="269"/>
    </row>
    <row r="460" spans="2:8" ht="25.5">
      <c r="B460" s="251" t="s">
        <v>2551</v>
      </c>
      <c r="C460" s="251">
        <v>11315</v>
      </c>
      <c r="D460" s="3" t="s">
        <v>779</v>
      </c>
      <c r="E460" s="4" t="s">
        <v>37</v>
      </c>
      <c r="F460" s="5" t="s">
        <v>311</v>
      </c>
      <c r="G460" s="105">
        <v>158.13</v>
      </c>
      <c r="H460" s="8">
        <f t="shared" si="9"/>
        <v>3795.12</v>
      </c>
    </row>
    <row r="461" spans="2:8" ht="25.5">
      <c r="B461" s="251" t="s">
        <v>2552</v>
      </c>
      <c r="C461" s="251" t="s">
        <v>2202</v>
      </c>
      <c r="D461" s="214" t="s">
        <v>780</v>
      </c>
      <c r="E461" s="4" t="s">
        <v>37</v>
      </c>
      <c r="F461" s="5" t="s">
        <v>311</v>
      </c>
      <c r="G461" s="105">
        <f>CPU!H1103</f>
        <v>101.74282689349999</v>
      </c>
      <c r="H461" s="8">
        <f t="shared" si="9"/>
        <v>2441.8278454439996</v>
      </c>
    </row>
    <row r="462" spans="2:8" ht="51">
      <c r="B462" s="251" t="s">
        <v>2553</v>
      </c>
      <c r="C462" s="251" t="s">
        <v>781</v>
      </c>
      <c r="D462" s="3" t="s">
        <v>782</v>
      </c>
      <c r="E462" s="4" t="s">
        <v>37</v>
      </c>
      <c r="F462" s="5" t="s">
        <v>46</v>
      </c>
      <c r="G462" s="105">
        <v>444.54</v>
      </c>
      <c r="H462" s="8">
        <f t="shared" si="9"/>
        <v>7112.64</v>
      </c>
    </row>
    <row r="463" spans="2:8" ht="37.5" customHeight="1">
      <c r="B463" s="251" t="s">
        <v>2554</v>
      </c>
      <c r="C463" s="251" t="s">
        <v>783</v>
      </c>
      <c r="D463" s="3" t="s">
        <v>784</v>
      </c>
      <c r="E463" s="4" t="s">
        <v>37</v>
      </c>
      <c r="F463" s="5" t="s">
        <v>611</v>
      </c>
      <c r="G463" s="105">
        <v>751.15</v>
      </c>
      <c r="H463" s="8">
        <f t="shared" si="9"/>
        <v>6009.2</v>
      </c>
    </row>
    <row r="464" spans="2:8" ht="38.25">
      <c r="B464" s="251" t="s">
        <v>2555</v>
      </c>
      <c r="C464" s="251" t="s">
        <v>785</v>
      </c>
      <c r="D464" s="3" t="s">
        <v>786</v>
      </c>
      <c r="E464" s="4" t="s">
        <v>37</v>
      </c>
      <c r="F464" s="5" t="s">
        <v>38</v>
      </c>
      <c r="G464" s="105">
        <v>161.47</v>
      </c>
      <c r="H464" s="8">
        <f t="shared" si="9"/>
        <v>161.47</v>
      </c>
    </row>
    <row r="465" spans="2:8" ht="51">
      <c r="B465" s="251" t="s">
        <v>2556</v>
      </c>
      <c r="C465" s="251" t="s">
        <v>787</v>
      </c>
      <c r="D465" s="3" t="s">
        <v>788</v>
      </c>
      <c r="E465" s="4" t="s">
        <v>37</v>
      </c>
      <c r="F465" s="5" t="s">
        <v>358</v>
      </c>
      <c r="G465" s="105">
        <v>412.38</v>
      </c>
      <c r="H465" s="8">
        <f t="shared" si="9"/>
        <v>1237.1399999999999</v>
      </c>
    </row>
    <row r="466" spans="2:8" s="212" customFormat="1" ht="15" customHeight="1">
      <c r="B466" s="250" t="s">
        <v>789</v>
      </c>
      <c r="C466" s="250"/>
      <c r="D466" s="268" t="s">
        <v>717</v>
      </c>
      <c r="E466" s="268"/>
      <c r="F466" s="268"/>
      <c r="G466" s="268"/>
      <c r="H466" s="271" t="s">
        <v>1155</v>
      </c>
    </row>
    <row r="467" spans="2:8" ht="25.5" customHeight="1">
      <c r="B467" s="251" t="s">
        <v>2557</v>
      </c>
      <c r="C467" s="251" t="s">
        <v>718</v>
      </c>
      <c r="D467" s="3" t="s">
        <v>719</v>
      </c>
      <c r="E467" s="4" t="s">
        <v>75</v>
      </c>
      <c r="F467" s="5" t="s">
        <v>790</v>
      </c>
      <c r="G467" s="105">
        <v>73.77</v>
      </c>
      <c r="H467" s="8">
        <f t="shared" si="9"/>
        <v>12393.359999999999</v>
      </c>
    </row>
    <row r="468" spans="2:8" ht="25.5">
      <c r="B468" s="251" t="s">
        <v>2558</v>
      </c>
      <c r="C468" s="251" t="s">
        <v>133</v>
      </c>
      <c r="D468" s="214" t="s">
        <v>134</v>
      </c>
      <c r="E468" s="4" t="s">
        <v>75</v>
      </c>
      <c r="F468" s="5" t="s">
        <v>791</v>
      </c>
      <c r="G468" s="105">
        <v>44.73</v>
      </c>
      <c r="H468" s="8">
        <f t="shared" si="9"/>
        <v>7201.53</v>
      </c>
    </row>
    <row r="469" spans="2:8" ht="15" customHeight="1">
      <c r="B469" s="251"/>
      <c r="C469" s="251"/>
      <c r="D469" s="274" t="s">
        <v>1188</v>
      </c>
      <c r="E469" s="275"/>
      <c r="F469" s="276"/>
      <c r="G469" s="276"/>
      <c r="H469" s="277">
        <f>SUM(H437:H468)</f>
        <v>130892.84715244456</v>
      </c>
    </row>
    <row r="470" spans="2:8" s="212" customFormat="1" ht="20.100000000000001" customHeight="1">
      <c r="B470" s="253"/>
      <c r="C470" s="259"/>
      <c r="D470" s="260" t="s">
        <v>2798</v>
      </c>
      <c r="E470" s="261"/>
      <c r="F470" s="262"/>
      <c r="G470" s="262"/>
      <c r="H470" s="263">
        <f>H389+ORCA!H411+ORCA!H434+ORCA!H469</f>
        <v>749183.38595426606</v>
      </c>
    </row>
    <row r="471" spans="2:8" s="212" customFormat="1" ht="20.100000000000001" customHeight="1">
      <c r="B471" s="257" t="s">
        <v>792</v>
      </c>
      <c r="C471" s="257"/>
      <c r="D471" s="286" t="s">
        <v>793</v>
      </c>
      <c r="E471" s="286"/>
      <c r="F471" s="286"/>
      <c r="G471" s="286"/>
      <c r="H471" s="287" t="s">
        <v>1155</v>
      </c>
    </row>
    <row r="472" spans="2:8" s="212" customFormat="1" ht="15" customHeight="1">
      <c r="B472" s="244" t="s">
        <v>794</v>
      </c>
      <c r="C472" s="244"/>
      <c r="D472" s="245" t="s">
        <v>795</v>
      </c>
      <c r="E472" s="245"/>
      <c r="F472" s="245"/>
      <c r="G472" s="245"/>
      <c r="H472" s="279" t="s">
        <v>1155</v>
      </c>
    </row>
    <row r="473" spans="2:8" s="212" customFormat="1" ht="15" customHeight="1">
      <c r="B473" s="250" t="s">
        <v>796</v>
      </c>
      <c r="C473" s="250"/>
      <c r="D473" s="268" t="s">
        <v>797</v>
      </c>
      <c r="E473" s="268"/>
      <c r="F473" s="268"/>
      <c r="G473" s="268"/>
      <c r="H473" s="271" t="s">
        <v>1155</v>
      </c>
    </row>
    <row r="474" spans="2:8" ht="25.5">
      <c r="B474" s="446" t="s">
        <v>2559</v>
      </c>
      <c r="C474" s="446" t="s">
        <v>2091</v>
      </c>
      <c r="D474" s="215" t="s">
        <v>798</v>
      </c>
      <c r="E474" s="106" t="s">
        <v>663</v>
      </c>
      <c r="F474" s="105" t="s">
        <v>38</v>
      </c>
      <c r="G474" s="105">
        <f>CPU!H1116</f>
        <v>7241.0757056733191</v>
      </c>
      <c r="H474" s="8">
        <f t="shared" si="9"/>
        <v>7241.0757056733191</v>
      </c>
    </row>
    <row r="475" spans="2:8" s="212" customFormat="1" ht="15" customHeight="1">
      <c r="B475" s="250" t="s">
        <v>799</v>
      </c>
      <c r="C475" s="250"/>
      <c r="D475" s="268" t="s">
        <v>800</v>
      </c>
      <c r="E475" s="268"/>
      <c r="F475" s="268"/>
      <c r="G475" s="268"/>
      <c r="H475" s="271" t="s">
        <v>1155</v>
      </c>
    </row>
    <row r="476" spans="2:8" ht="38.25">
      <c r="B476" s="251" t="s">
        <v>2560</v>
      </c>
      <c r="C476" s="251" t="s">
        <v>801</v>
      </c>
      <c r="D476" s="3" t="s">
        <v>802</v>
      </c>
      <c r="E476" s="4" t="s">
        <v>15</v>
      </c>
      <c r="F476" s="5" t="s">
        <v>803</v>
      </c>
      <c r="G476" s="105">
        <v>269.57</v>
      </c>
      <c r="H476" s="8">
        <f t="shared" si="9"/>
        <v>49870.45</v>
      </c>
    </row>
    <row r="477" spans="2:8" ht="15" customHeight="1">
      <c r="B477" s="250" t="s">
        <v>804</v>
      </c>
      <c r="C477" s="250"/>
      <c r="D477" s="281" t="s">
        <v>805</v>
      </c>
      <c r="E477" s="281"/>
      <c r="F477" s="281"/>
      <c r="G477" s="281"/>
      <c r="H477" s="282" t="s">
        <v>1155</v>
      </c>
    </row>
    <row r="478" spans="2:8" ht="25.5">
      <c r="B478" s="251" t="s">
        <v>2561</v>
      </c>
      <c r="C478" s="251" t="s">
        <v>806</v>
      </c>
      <c r="D478" s="3" t="s">
        <v>807</v>
      </c>
      <c r="E478" s="4" t="s">
        <v>15</v>
      </c>
      <c r="F478" s="5" t="s">
        <v>808</v>
      </c>
      <c r="G478" s="105">
        <v>69.069999999999993</v>
      </c>
      <c r="H478" s="8">
        <f t="shared" si="9"/>
        <v>2141.1699999999996</v>
      </c>
    </row>
    <row r="479" spans="2:8" ht="26.25" customHeight="1">
      <c r="B479" s="251" t="s">
        <v>2562</v>
      </c>
      <c r="C479" s="251" t="s">
        <v>809</v>
      </c>
      <c r="D479" s="3" t="s">
        <v>810</v>
      </c>
      <c r="E479" s="4" t="s">
        <v>37</v>
      </c>
      <c r="F479" s="5" t="s">
        <v>367</v>
      </c>
      <c r="G479" s="105">
        <v>87.09</v>
      </c>
      <c r="H479" s="8">
        <f t="shared" si="9"/>
        <v>174.18</v>
      </c>
    </row>
    <row r="480" spans="2:8" s="212" customFormat="1" ht="15" customHeight="1">
      <c r="B480" s="250" t="s">
        <v>811</v>
      </c>
      <c r="C480" s="250"/>
      <c r="D480" s="268" t="s">
        <v>812</v>
      </c>
      <c r="E480" s="268"/>
      <c r="F480" s="268"/>
      <c r="G480" s="268"/>
      <c r="H480" s="271" t="s">
        <v>1155</v>
      </c>
    </row>
    <row r="481" spans="2:8" ht="25.5">
      <c r="B481" s="251" t="s">
        <v>2563</v>
      </c>
      <c r="C481" s="251" t="s">
        <v>2092</v>
      </c>
      <c r="D481" s="3" t="s">
        <v>813</v>
      </c>
      <c r="E481" s="4" t="s">
        <v>37</v>
      </c>
      <c r="F481" s="5" t="s">
        <v>38</v>
      </c>
      <c r="G481" s="105">
        <f>CPU!H1130</f>
        <v>738.27438007542014</v>
      </c>
      <c r="H481" s="8">
        <f t="shared" si="9"/>
        <v>738.27438007542014</v>
      </c>
    </row>
    <row r="482" spans="2:8" s="212" customFormat="1" ht="15" customHeight="1">
      <c r="B482" s="250" t="s">
        <v>814</v>
      </c>
      <c r="C482" s="250"/>
      <c r="D482" s="268" t="s">
        <v>815</v>
      </c>
      <c r="E482" s="268"/>
      <c r="F482" s="268"/>
      <c r="G482" s="268"/>
      <c r="H482" s="271" t="s">
        <v>1155</v>
      </c>
    </row>
    <row r="483" spans="2:8" s="212" customFormat="1" ht="15" customHeight="1">
      <c r="B483" s="250" t="s">
        <v>816</v>
      </c>
      <c r="C483" s="250"/>
      <c r="D483" s="268" t="s">
        <v>817</v>
      </c>
      <c r="E483" s="268"/>
      <c r="F483" s="268"/>
      <c r="G483" s="268"/>
      <c r="H483" s="271" t="s">
        <v>1155</v>
      </c>
    </row>
    <row r="484" spans="2:8" ht="25.5">
      <c r="B484" s="251" t="s">
        <v>2564</v>
      </c>
      <c r="C484" s="251" t="s">
        <v>2093</v>
      </c>
      <c r="D484" s="214" t="s">
        <v>818</v>
      </c>
      <c r="E484" s="4" t="s">
        <v>663</v>
      </c>
      <c r="F484" s="5" t="s">
        <v>38</v>
      </c>
      <c r="G484" s="105">
        <f>CPU!H1140</f>
        <v>4821.1100000000006</v>
      </c>
      <c r="H484" s="8">
        <f t="shared" si="9"/>
        <v>4821.1100000000006</v>
      </c>
    </row>
    <row r="485" spans="2:8" s="212" customFormat="1" ht="15" customHeight="1">
      <c r="B485" s="250" t="s">
        <v>819</v>
      </c>
      <c r="C485" s="250"/>
      <c r="D485" s="268" t="s">
        <v>820</v>
      </c>
      <c r="E485" s="268"/>
      <c r="F485" s="268"/>
      <c r="G485" s="268"/>
      <c r="H485" s="271"/>
    </row>
    <row r="486" spans="2:8" ht="25.5" customHeight="1">
      <c r="B486" s="251" t="s">
        <v>2565</v>
      </c>
      <c r="C486" s="251" t="s">
        <v>2096</v>
      </c>
      <c r="D486" s="214" t="s">
        <v>821</v>
      </c>
      <c r="E486" s="4" t="s">
        <v>663</v>
      </c>
      <c r="F486" s="5" t="s">
        <v>38</v>
      </c>
      <c r="G486" s="105">
        <f>CPU!H1150</f>
        <v>3581.38</v>
      </c>
      <c r="H486" s="8">
        <f t="shared" si="9"/>
        <v>3581.38</v>
      </c>
    </row>
    <row r="487" spans="2:8" ht="25.5" customHeight="1">
      <c r="B487" s="251" t="s">
        <v>2566</v>
      </c>
      <c r="C487" s="251" t="s">
        <v>2097</v>
      </c>
      <c r="D487" s="214" t="s">
        <v>822</v>
      </c>
      <c r="E487" s="4" t="s">
        <v>663</v>
      </c>
      <c r="F487" s="5" t="s">
        <v>38</v>
      </c>
      <c r="G487" s="105">
        <f>CPU!H1159</f>
        <v>1667.7507500000002</v>
      </c>
      <c r="H487" s="8">
        <f t="shared" si="9"/>
        <v>1667.7507500000002</v>
      </c>
    </row>
    <row r="488" spans="2:8" ht="25.5" customHeight="1">
      <c r="B488" s="251" t="s">
        <v>2567</v>
      </c>
      <c r="C488" s="251" t="s">
        <v>2099</v>
      </c>
      <c r="D488" s="214" t="s">
        <v>823</v>
      </c>
      <c r="E488" s="4" t="s">
        <v>663</v>
      </c>
      <c r="F488" s="5" t="s">
        <v>38</v>
      </c>
      <c r="G488" s="105">
        <f>CPU!H1168</f>
        <v>1968.0407499999999</v>
      </c>
      <c r="H488" s="8">
        <f t="shared" si="9"/>
        <v>1968.0407499999999</v>
      </c>
    </row>
    <row r="489" spans="2:8" ht="25.5" customHeight="1">
      <c r="B489" s="251" t="s">
        <v>2568</v>
      </c>
      <c r="C489" s="251" t="s">
        <v>2101</v>
      </c>
      <c r="D489" s="214" t="s">
        <v>824</v>
      </c>
      <c r="E489" s="4" t="s">
        <v>663</v>
      </c>
      <c r="F489" s="5" t="s">
        <v>38</v>
      </c>
      <c r="G489" s="105">
        <f>CPU!H1177</f>
        <v>1654.4907500000002</v>
      </c>
      <c r="H489" s="8">
        <f t="shared" si="9"/>
        <v>1654.4907500000002</v>
      </c>
    </row>
    <row r="490" spans="2:8" ht="25.5" customHeight="1">
      <c r="B490" s="251" t="s">
        <v>2569</v>
      </c>
      <c r="C490" s="251" t="s">
        <v>2102</v>
      </c>
      <c r="D490" s="214" t="s">
        <v>825</v>
      </c>
      <c r="E490" s="4" t="s">
        <v>663</v>
      </c>
      <c r="F490" s="5" t="s">
        <v>38</v>
      </c>
      <c r="G490" s="105">
        <f>CPU!H1186</f>
        <v>3377.5607500000001</v>
      </c>
      <c r="H490" s="8">
        <f t="shared" si="9"/>
        <v>3377.5607500000001</v>
      </c>
    </row>
    <row r="491" spans="2:8" ht="25.5" customHeight="1">
      <c r="B491" s="251" t="s">
        <v>2570</v>
      </c>
      <c r="C491" s="251" t="s">
        <v>2103</v>
      </c>
      <c r="D491" s="214" t="s">
        <v>826</v>
      </c>
      <c r="E491" s="4" t="s">
        <v>663</v>
      </c>
      <c r="F491" s="5" t="s">
        <v>38</v>
      </c>
      <c r="G491" s="105">
        <f>CPU!H1195</f>
        <v>3597.9807500000002</v>
      </c>
      <c r="H491" s="8">
        <f t="shared" si="9"/>
        <v>3597.9807500000002</v>
      </c>
    </row>
    <row r="492" spans="2:8" ht="25.5" customHeight="1">
      <c r="B492" s="251" t="s">
        <v>2571</v>
      </c>
      <c r="C492" s="251" t="s">
        <v>2105</v>
      </c>
      <c r="D492" s="214" t="s">
        <v>827</v>
      </c>
      <c r="E492" s="4" t="s">
        <v>663</v>
      </c>
      <c r="F492" s="5" t="s">
        <v>38</v>
      </c>
      <c r="G492" s="105">
        <f>CPU!H1204</f>
        <v>3741.3407499999998</v>
      </c>
      <c r="H492" s="8">
        <f t="shared" si="9"/>
        <v>3741.3407499999998</v>
      </c>
    </row>
    <row r="493" spans="2:8" ht="25.5" customHeight="1">
      <c r="B493" s="251" t="s">
        <v>2572</v>
      </c>
      <c r="C493" s="251" t="s">
        <v>2106</v>
      </c>
      <c r="D493" s="214" t="s">
        <v>828</v>
      </c>
      <c r="E493" s="4" t="s">
        <v>663</v>
      </c>
      <c r="F493" s="5" t="s">
        <v>38</v>
      </c>
      <c r="G493" s="105">
        <f>CPU!H1213</f>
        <v>1737.2900000000002</v>
      </c>
      <c r="H493" s="8">
        <f t="shared" si="9"/>
        <v>1737.2900000000002</v>
      </c>
    </row>
    <row r="494" spans="2:8" ht="40.5" customHeight="1">
      <c r="B494" s="251" t="s">
        <v>2573</v>
      </c>
      <c r="C494" s="251" t="s">
        <v>2841</v>
      </c>
      <c r="D494" s="3" t="s">
        <v>830</v>
      </c>
      <c r="E494" s="4" t="s">
        <v>37</v>
      </c>
      <c r="F494" s="5" t="s">
        <v>358</v>
      </c>
      <c r="G494" s="105">
        <v>3038.67</v>
      </c>
      <c r="H494" s="8">
        <f t="shared" si="9"/>
        <v>9116.01</v>
      </c>
    </row>
    <row r="495" spans="2:8" ht="27.75" customHeight="1">
      <c r="B495" s="251" t="s">
        <v>2574</v>
      </c>
      <c r="C495" s="251" t="s">
        <v>831</v>
      </c>
      <c r="D495" s="3" t="s">
        <v>832</v>
      </c>
      <c r="E495" s="4" t="s">
        <v>37</v>
      </c>
      <c r="F495" s="5" t="s">
        <v>575</v>
      </c>
      <c r="G495" s="105">
        <v>25.58</v>
      </c>
      <c r="H495" s="8">
        <f t="shared" si="9"/>
        <v>230.21999999999997</v>
      </c>
    </row>
    <row r="496" spans="2:8" s="212" customFormat="1" ht="15" customHeight="1">
      <c r="B496" s="250" t="s">
        <v>833</v>
      </c>
      <c r="C496" s="250"/>
      <c r="D496" s="268" t="s">
        <v>805</v>
      </c>
      <c r="E496" s="268"/>
      <c r="F496" s="268"/>
      <c r="G496" s="268"/>
      <c r="H496" s="271" t="s">
        <v>1155</v>
      </c>
    </row>
    <row r="497" spans="2:8" ht="38.25">
      <c r="B497" s="251" t="s">
        <v>2575</v>
      </c>
      <c r="C497" s="251" t="s">
        <v>2200</v>
      </c>
      <c r="D497" s="3" t="s">
        <v>699</v>
      </c>
      <c r="E497" s="4" t="s">
        <v>24</v>
      </c>
      <c r="F497" s="5" t="s">
        <v>834</v>
      </c>
      <c r="G497" s="105">
        <f>CPU!H993</f>
        <v>21.350875880640004</v>
      </c>
      <c r="H497" s="8">
        <f t="shared" si="9"/>
        <v>3159.9296303347205</v>
      </c>
    </row>
    <row r="498" spans="2:8" ht="37.5" customHeight="1">
      <c r="B498" s="251" t="s">
        <v>2576</v>
      </c>
      <c r="C498" s="251" t="s">
        <v>835</v>
      </c>
      <c r="D498" s="3" t="s">
        <v>836</v>
      </c>
      <c r="E498" s="4" t="s">
        <v>15</v>
      </c>
      <c r="F498" s="5" t="s">
        <v>837</v>
      </c>
      <c r="G498" s="105">
        <v>10.57</v>
      </c>
      <c r="H498" s="8">
        <f t="shared" si="9"/>
        <v>15717.59</v>
      </c>
    </row>
    <row r="499" spans="2:8" ht="38.25">
      <c r="B499" s="251" t="s">
        <v>2577</v>
      </c>
      <c r="C499" s="251" t="s">
        <v>838</v>
      </c>
      <c r="D499" s="3" t="s">
        <v>839</v>
      </c>
      <c r="E499" s="4" t="s">
        <v>15</v>
      </c>
      <c r="F499" s="5" t="s">
        <v>623</v>
      </c>
      <c r="G499" s="105">
        <v>9.74</v>
      </c>
      <c r="H499" s="8">
        <f t="shared" si="9"/>
        <v>4753.12</v>
      </c>
    </row>
    <row r="500" spans="2:8" ht="38.25">
      <c r="B500" s="251" t="s">
        <v>2578</v>
      </c>
      <c r="C500" s="251" t="s">
        <v>840</v>
      </c>
      <c r="D500" s="3" t="s">
        <v>841</v>
      </c>
      <c r="E500" s="4" t="s">
        <v>15</v>
      </c>
      <c r="F500" s="5" t="s">
        <v>735</v>
      </c>
      <c r="G500" s="105">
        <v>13.7</v>
      </c>
      <c r="H500" s="8">
        <f t="shared" si="9"/>
        <v>1493.3</v>
      </c>
    </row>
    <row r="501" spans="2:8" ht="38.25">
      <c r="B501" s="251" t="s">
        <v>2579</v>
      </c>
      <c r="C501" s="251" t="s">
        <v>842</v>
      </c>
      <c r="D501" s="3" t="s">
        <v>843</v>
      </c>
      <c r="E501" s="4" t="s">
        <v>15</v>
      </c>
      <c r="F501" s="5" t="s">
        <v>844</v>
      </c>
      <c r="G501" s="105">
        <v>17.61</v>
      </c>
      <c r="H501" s="8">
        <f t="shared" si="9"/>
        <v>7272.9299999999994</v>
      </c>
    </row>
    <row r="502" spans="2:8" ht="36.75" customHeight="1">
      <c r="B502" s="251" t="s">
        <v>2580</v>
      </c>
      <c r="C502" s="251" t="s">
        <v>845</v>
      </c>
      <c r="D502" s="3" t="s">
        <v>846</v>
      </c>
      <c r="E502" s="4" t="s">
        <v>37</v>
      </c>
      <c r="F502" s="5" t="s">
        <v>667</v>
      </c>
      <c r="G502" s="105">
        <v>17.43</v>
      </c>
      <c r="H502" s="8">
        <f t="shared" si="9"/>
        <v>226.59</v>
      </c>
    </row>
    <row r="503" spans="2:8" ht="39" customHeight="1">
      <c r="B503" s="251" t="s">
        <v>2581</v>
      </c>
      <c r="C503" s="251" t="s">
        <v>847</v>
      </c>
      <c r="D503" s="3" t="s">
        <v>848</v>
      </c>
      <c r="E503" s="4" t="s">
        <v>37</v>
      </c>
      <c r="F503" s="5" t="s">
        <v>14</v>
      </c>
      <c r="G503" s="105">
        <v>19.850000000000001</v>
      </c>
      <c r="H503" s="8">
        <f t="shared" si="9"/>
        <v>198.5</v>
      </c>
    </row>
    <row r="504" spans="2:8" ht="25.5">
      <c r="B504" s="251" t="s">
        <v>2582</v>
      </c>
      <c r="C504" s="251" t="s">
        <v>849</v>
      </c>
      <c r="D504" s="3" t="s">
        <v>850</v>
      </c>
      <c r="E504" s="4" t="s">
        <v>15</v>
      </c>
      <c r="F504" s="5" t="s">
        <v>851</v>
      </c>
      <c r="G504" s="105">
        <v>17.670000000000002</v>
      </c>
      <c r="H504" s="8">
        <f t="shared" si="9"/>
        <v>4735.5600000000004</v>
      </c>
    </row>
    <row r="505" spans="2:8" ht="25.5">
      <c r="B505" s="251" t="s">
        <v>2583</v>
      </c>
      <c r="C505" s="251" t="s">
        <v>852</v>
      </c>
      <c r="D505" s="3" t="s">
        <v>853</v>
      </c>
      <c r="E505" s="4" t="s">
        <v>15</v>
      </c>
      <c r="F505" s="5" t="s">
        <v>289</v>
      </c>
      <c r="G505" s="105">
        <v>26.43</v>
      </c>
      <c r="H505" s="8">
        <f t="shared" si="9"/>
        <v>581.46</v>
      </c>
    </row>
    <row r="506" spans="2:8" ht="27" customHeight="1">
      <c r="B506" s="251" t="s">
        <v>2584</v>
      </c>
      <c r="C506" s="251" t="s">
        <v>854</v>
      </c>
      <c r="D506" s="3" t="s">
        <v>855</v>
      </c>
      <c r="E506" s="4" t="s">
        <v>37</v>
      </c>
      <c r="F506" s="5" t="s">
        <v>289</v>
      </c>
      <c r="G506" s="105">
        <v>22.17</v>
      </c>
      <c r="H506" s="8">
        <f t="shared" ref="H506:H564" si="10">F506*G506</f>
        <v>487.74</v>
      </c>
    </row>
    <row r="507" spans="2:8" s="212" customFormat="1" ht="15" customHeight="1">
      <c r="B507" s="250" t="s">
        <v>856</v>
      </c>
      <c r="C507" s="250"/>
      <c r="D507" s="268" t="s">
        <v>857</v>
      </c>
      <c r="E507" s="268"/>
      <c r="F507" s="268"/>
      <c r="G507" s="268"/>
      <c r="H507" s="271" t="s">
        <v>1155</v>
      </c>
    </row>
    <row r="508" spans="2:8" ht="38.25">
      <c r="B508" s="251" t="s">
        <v>2585</v>
      </c>
      <c r="C508" s="251" t="s">
        <v>858</v>
      </c>
      <c r="D508" s="3" t="s">
        <v>859</v>
      </c>
      <c r="E508" s="4" t="s">
        <v>15</v>
      </c>
      <c r="F508" s="5" t="s">
        <v>860</v>
      </c>
      <c r="G508" s="105">
        <v>4.32</v>
      </c>
      <c r="H508" s="8">
        <f t="shared" si="10"/>
        <v>214125.12000000002</v>
      </c>
    </row>
    <row r="509" spans="2:8" ht="38.25">
      <c r="B509" s="251" t="s">
        <v>2586</v>
      </c>
      <c r="C509" s="251" t="s">
        <v>861</v>
      </c>
      <c r="D509" s="3" t="s">
        <v>862</v>
      </c>
      <c r="E509" s="4" t="s">
        <v>15</v>
      </c>
      <c r="F509" s="5" t="s">
        <v>863</v>
      </c>
      <c r="G509" s="105">
        <v>10.96</v>
      </c>
      <c r="H509" s="8">
        <f t="shared" si="10"/>
        <v>21974.800000000003</v>
      </c>
    </row>
    <row r="510" spans="2:8" ht="38.25">
      <c r="B510" s="251" t="s">
        <v>2587</v>
      </c>
      <c r="C510" s="251" t="s">
        <v>864</v>
      </c>
      <c r="D510" s="3" t="s">
        <v>865</v>
      </c>
      <c r="E510" s="4" t="s">
        <v>15</v>
      </c>
      <c r="F510" s="5" t="s">
        <v>866</v>
      </c>
      <c r="G510" s="105">
        <v>17.25</v>
      </c>
      <c r="H510" s="8">
        <f t="shared" si="10"/>
        <v>37225.5</v>
      </c>
    </row>
    <row r="511" spans="2:8" ht="38.25">
      <c r="B511" s="251" t="s">
        <v>2588</v>
      </c>
      <c r="C511" s="251" t="s">
        <v>867</v>
      </c>
      <c r="D511" s="3" t="s">
        <v>868</v>
      </c>
      <c r="E511" s="4" t="s">
        <v>15</v>
      </c>
      <c r="F511" s="5" t="s">
        <v>651</v>
      </c>
      <c r="G511" s="105">
        <v>26.34</v>
      </c>
      <c r="H511" s="8">
        <f t="shared" si="10"/>
        <v>3160.8</v>
      </c>
    </row>
    <row r="512" spans="2:8" ht="38.25">
      <c r="B512" s="251" t="s">
        <v>2589</v>
      </c>
      <c r="C512" s="251" t="s">
        <v>869</v>
      </c>
      <c r="D512" s="3" t="s">
        <v>870</v>
      </c>
      <c r="E512" s="4" t="s">
        <v>15</v>
      </c>
      <c r="F512" s="5" t="s">
        <v>871</v>
      </c>
      <c r="G512" s="105">
        <v>30.19</v>
      </c>
      <c r="H512" s="8">
        <f t="shared" si="10"/>
        <v>27684.23</v>
      </c>
    </row>
    <row r="513" spans="2:8" ht="38.25">
      <c r="B513" s="251" t="s">
        <v>2590</v>
      </c>
      <c r="C513" s="251" t="s">
        <v>872</v>
      </c>
      <c r="D513" s="3" t="s">
        <v>873</v>
      </c>
      <c r="E513" s="4" t="s">
        <v>15</v>
      </c>
      <c r="F513" s="5" t="s">
        <v>754</v>
      </c>
      <c r="G513" s="105">
        <v>40.97</v>
      </c>
      <c r="H513" s="8">
        <f t="shared" si="10"/>
        <v>6555.2</v>
      </c>
    </row>
    <row r="514" spans="2:8" s="212" customFormat="1" ht="15" customHeight="1">
      <c r="B514" s="250" t="s">
        <v>874</v>
      </c>
      <c r="C514" s="250"/>
      <c r="D514" s="268" t="s">
        <v>709</v>
      </c>
      <c r="E514" s="268"/>
      <c r="F514" s="268"/>
      <c r="G514" s="268"/>
      <c r="H514" s="271" t="s">
        <v>1155</v>
      </c>
    </row>
    <row r="515" spans="2:8" ht="25.5">
      <c r="B515" s="251" t="s">
        <v>2591</v>
      </c>
      <c r="C515" s="251" t="s">
        <v>2203</v>
      </c>
      <c r="D515" s="214" t="s">
        <v>875</v>
      </c>
      <c r="E515" s="4" t="s">
        <v>37</v>
      </c>
      <c r="F515" s="5" t="s">
        <v>314</v>
      </c>
      <c r="G515" s="105">
        <f>CPU!H1227</f>
        <v>561.56385399999999</v>
      </c>
      <c r="H515" s="8">
        <f t="shared" si="10"/>
        <v>26955.064992</v>
      </c>
    </row>
    <row r="516" spans="2:8" ht="38.25">
      <c r="B516" s="251" t="s">
        <v>2592</v>
      </c>
      <c r="C516" s="251" t="s">
        <v>876</v>
      </c>
      <c r="D516" s="3" t="s">
        <v>877</v>
      </c>
      <c r="E516" s="4" t="s">
        <v>37</v>
      </c>
      <c r="F516" s="5" t="s">
        <v>289</v>
      </c>
      <c r="G516" s="105">
        <v>26.45</v>
      </c>
      <c r="H516" s="8">
        <f t="shared" si="10"/>
        <v>581.9</v>
      </c>
    </row>
    <row r="517" spans="2:8" ht="38.25">
      <c r="B517" s="251" t="s">
        <v>2593</v>
      </c>
      <c r="C517" s="251" t="s">
        <v>878</v>
      </c>
      <c r="D517" s="3" t="s">
        <v>879</v>
      </c>
      <c r="E517" s="4" t="s">
        <v>37</v>
      </c>
      <c r="F517" s="5" t="s">
        <v>880</v>
      </c>
      <c r="G517" s="105">
        <v>14.17</v>
      </c>
      <c r="H517" s="8">
        <f t="shared" si="10"/>
        <v>5611.32</v>
      </c>
    </row>
    <row r="518" spans="2:8" ht="38.25">
      <c r="B518" s="251" t="s">
        <v>2594</v>
      </c>
      <c r="C518" s="251" t="s">
        <v>881</v>
      </c>
      <c r="D518" s="3" t="s">
        <v>882</v>
      </c>
      <c r="E518" s="4" t="s">
        <v>37</v>
      </c>
      <c r="F518" s="5" t="s">
        <v>883</v>
      </c>
      <c r="G518" s="105">
        <v>9.56</v>
      </c>
      <c r="H518" s="8">
        <f t="shared" si="10"/>
        <v>1357.52</v>
      </c>
    </row>
    <row r="519" spans="2:8" ht="38.25">
      <c r="B519" s="251" t="s">
        <v>2595</v>
      </c>
      <c r="C519" s="251" t="s">
        <v>884</v>
      </c>
      <c r="D519" s="3" t="s">
        <v>885</v>
      </c>
      <c r="E519" s="4" t="s">
        <v>37</v>
      </c>
      <c r="F519" s="5" t="s">
        <v>886</v>
      </c>
      <c r="G519" s="105">
        <v>32.89</v>
      </c>
      <c r="H519" s="8">
        <f t="shared" si="10"/>
        <v>2828.54</v>
      </c>
    </row>
    <row r="520" spans="2:8" ht="38.25">
      <c r="B520" s="251" t="s">
        <v>2596</v>
      </c>
      <c r="C520" s="251" t="s">
        <v>887</v>
      </c>
      <c r="D520" s="3" t="s">
        <v>888</v>
      </c>
      <c r="E520" s="4" t="s">
        <v>37</v>
      </c>
      <c r="F520" s="5" t="s">
        <v>674</v>
      </c>
      <c r="G520" s="105">
        <v>18.75</v>
      </c>
      <c r="H520" s="8">
        <f t="shared" si="10"/>
        <v>843.75</v>
      </c>
    </row>
    <row r="521" spans="2:8" s="212" customFormat="1" ht="15" customHeight="1">
      <c r="B521" s="250" t="s">
        <v>889</v>
      </c>
      <c r="C521" s="250"/>
      <c r="D521" s="268" t="s">
        <v>890</v>
      </c>
      <c r="E521" s="268"/>
      <c r="F521" s="268"/>
      <c r="G521" s="268"/>
      <c r="H521" s="271" t="s">
        <v>1155</v>
      </c>
    </row>
    <row r="522" spans="2:8" ht="38.25">
      <c r="B522" s="251" t="s">
        <v>2597</v>
      </c>
      <c r="C522" s="251" t="s">
        <v>2108</v>
      </c>
      <c r="D522" s="3" t="s">
        <v>891</v>
      </c>
      <c r="E522" s="4" t="s">
        <v>15</v>
      </c>
      <c r="F522" s="5">
        <v>42</v>
      </c>
      <c r="G522" s="105">
        <f>CPU!H1242</f>
        <v>58.806646643914917</v>
      </c>
      <c r="H522" s="8">
        <f t="shared" si="10"/>
        <v>2469.8791590444266</v>
      </c>
    </row>
    <row r="523" spans="2:8" ht="38.25">
      <c r="B523" s="251" t="s">
        <v>2598</v>
      </c>
      <c r="C523" s="251" t="s">
        <v>2116</v>
      </c>
      <c r="D523" s="3" t="s">
        <v>892</v>
      </c>
      <c r="E523" s="4" t="s">
        <v>15</v>
      </c>
      <c r="F523" s="5">
        <v>117</v>
      </c>
      <c r="G523" s="105">
        <f>CPU!H1257</f>
        <v>56.177036528007406</v>
      </c>
      <c r="H523" s="8">
        <f t="shared" si="10"/>
        <v>6572.7132737768661</v>
      </c>
    </row>
    <row r="524" spans="2:8" ht="38.25">
      <c r="B524" s="251" t="s">
        <v>2599</v>
      </c>
      <c r="C524" s="251" t="s">
        <v>2120</v>
      </c>
      <c r="D524" s="3" t="s">
        <v>893</v>
      </c>
      <c r="E524" s="4" t="s">
        <v>15</v>
      </c>
      <c r="F524" s="5">
        <v>32</v>
      </c>
      <c r="G524" s="105">
        <f>CPU!H1272</f>
        <v>63.316187460204908</v>
      </c>
      <c r="H524" s="8">
        <f t="shared" si="10"/>
        <v>2026.1179987265571</v>
      </c>
    </row>
    <row r="525" spans="2:8" ht="31.5" customHeight="1">
      <c r="B525" s="251" t="s">
        <v>2600</v>
      </c>
      <c r="C525" s="251" t="s">
        <v>2123</v>
      </c>
      <c r="D525" s="3" t="s">
        <v>894</v>
      </c>
      <c r="E525" s="4" t="s">
        <v>15</v>
      </c>
      <c r="F525" s="5">
        <v>18</v>
      </c>
      <c r="G525" s="105">
        <f>CPU!H1287</f>
        <v>86.43270273561842</v>
      </c>
      <c r="H525" s="8">
        <f t="shared" si="10"/>
        <v>1555.7886492411317</v>
      </c>
    </row>
    <row r="526" spans="2:8" ht="27.75" customHeight="1">
      <c r="B526" s="251" t="s">
        <v>2601</v>
      </c>
      <c r="C526" s="251" t="s">
        <v>2127</v>
      </c>
      <c r="D526" s="85" t="s">
        <v>1933</v>
      </c>
      <c r="E526" s="102" t="s">
        <v>15</v>
      </c>
      <c r="F526" s="5">
        <v>479.46</v>
      </c>
      <c r="G526" s="105">
        <f>CPU!H1304</f>
        <v>203.66977867838406</v>
      </c>
      <c r="H526" s="8">
        <f t="shared" si="10"/>
        <v>97651.51208513802</v>
      </c>
    </row>
    <row r="527" spans="2:8" ht="25.5">
      <c r="B527" s="251" t="s">
        <v>2602</v>
      </c>
      <c r="C527" s="251" t="s">
        <v>895</v>
      </c>
      <c r="D527" s="3" t="s">
        <v>2733</v>
      </c>
      <c r="E527" s="4" t="s">
        <v>15</v>
      </c>
      <c r="F527" s="5" t="s">
        <v>896</v>
      </c>
      <c r="G527" s="105">
        <v>9.84</v>
      </c>
      <c r="H527" s="8">
        <f t="shared" si="10"/>
        <v>17692.32</v>
      </c>
    </row>
    <row r="528" spans="2:8" ht="25.5">
      <c r="B528" s="251" t="s">
        <v>2603</v>
      </c>
      <c r="C528" s="251" t="s">
        <v>2731</v>
      </c>
      <c r="D528" s="3" t="s">
        <v>2732</v>
      </c>
      <c r="E528" s="4" t="s">
        <v>15</v>
      </c>
      <c r="F528" s="5" t="s">
        <v>897</v>
      </c>
      <c r="G528" s="105">
        <v>18.100000000000001</v>
      </c>
      <c r="H528" s="8">
        <f t="shared" si="10"/>
        <v>13973.2</v>
      </c>
    </row>
    <row r="529" spans="2:8" ht="42.75" customHeight="1">
      <c r="B529" s="251" t="s">
        <v>2604</v>
      </c>
      <c r="C529" s="251" t="s">
        <v>898</v>
      </c>
      <c r="D529" s="3" t="s">
        <v>899</v>
      </c>
      <c r="E529" s="4" t="s">
        <v>15</v>
      </c>
      <c r="F529" s="5" t="s">
        <v>900</v>
      </c>
      <c r="G529" s="105">
        <v>17.39</v>
      </c>
      <c r="H529" s="8">
        <f t="shared" si="10"/>
        <v>4399.67</v>
      </c>
    </row>
    <row r="530" spans="2:8" s="212" customFormat="1" ht="15" customHeight="1">
      <c r="B530" s="251"/>
      <c r="C530" s="251"/>
      <c r="D530" s="274" t="s">
        <v>1189</v>
      </c>
      <c r="E530" s="275"/>
      <c r="F530" s="276"/>
      <c r="G530" s="284"/>
      <c r="H530" s="277">
        <f>SUM(H474:H529)</f>
        <v>629529.99037401041</v>
      </c>
    </row>
    <row r="531" spans="2:8" s="212" customFormat="1" ht="15" customHeight="1">
      <c r="B531" s="244" t="s">
        <v>901</v>
      </c>
      <c r="C531" s="244"/>
      <c r="D531" s="245" t="s">
        <v>902</v>
      </c>
      <c r="E531" s="245"/>
      <c r="F531" s="245"/>
      <c r="G531" s="245"/>
      <c r="H531" s="279" t="s">
        <v>1155</v>
      </c>
    </row>
    <row r="532" spans="2:8" s="212" customFormat="1" ht="15" customHeight="1">
      <c r="B532" s="250" t="s">
        <v>903</v>
      </c>
      <c r="C532" s="250"/>
      <c r="D532" s="268" t="s">
        <v>904</v>
      </c>
      <c r="E532" s="268"/>
      <c r="F532" s="268"/>
      <c r="G532" s="268"/>
      <c r="H532" s="271" t="s">
        <v>1155</v>
      </c>
    </row>
    <row r="533" spans="2:8" ht="30" customHeight="1">
      <c r="B533" s="258" t="s">
        <v>2605</v>
      </c>
      <c r="C533" s="251" t="s">
        <v>2128</v>
      </c>
      <c r="D533" s="214" t="s">
        <v>2734</v>
      </c>
      <c r="E533" s="4" t="s">
        <v>37</v>
      </c>
      <c r="F533" s="105">
        <v>582</v>
      </c>
      <c r="G533" s="105">
        <f>CPU!H1310</f>
        <v>233.18599999999998</v>
      </c>
      <c r="H533" s="8">
        <f t="shared" si="10"/>
        <v>135714.25199999998</v>
      </c>
    </row>
    <row r="534" spans="2:8" ht="25.5">
      <c r="B534" s="258" t="s">
        <v>2606</v>
      </c>
      <c r="C534" s="251" t="s">
        <v>2130</v>
      </c>
      <c r="D534" s="3" t="s">
        <v>906</v>
      </c>
      <c r="E534" s="4" t="s">
        <v>37</v>
      </c>
      <c r="F534" s="105">
        <v>72</v>
      </c>
      <c r="G534" s="105">
        <f>CPU!H1316</f>
        <v>147.07600000000002</v>
      </c>
      <c r="H534" s="8">
        <f t="shared" si="10"/>
        <v>10589.472000000002</v>
      </c>
    </row>
    <row r="535" spans="2:8" ht="25.5">
      <c r="B535" s="258" t="s">
        <v>2607</v>
      </c>
      <c r="C535" s="251" t="s">
        <v>2131</v>
      </c>
      <c r="D535" s="3" t="s">
        <v>907</v>
      </c>
      <c r="E535" s="4" t="s">
        <v>37</v>
      </c>
      <c r="F535" s="105">
        <v>211</v>
      </c>
      <c r="G535" s="105">
        <f>CPU!H1323</f>
        <v>95.736000000000004</v>
      </c>
      <c r="H535" s="8">
        <f t="shared" si="10"/>
        <v>20200.296000000002</v>
      </c>
    </row>
    <row r="536" spans="2:8" ht="25.5">
      <c r="B536" s="258" t="s">
        <v>2608</v>
      </c>
      <c r="C536" s="251" t="s">
        <v>2132</v>
      </c>
      <c r="D536" s="3" t="s">
        <v>908</v>
      </c>
      <c r="E536" s="4" t="s">
        <v>37</v>
      </c>
      <c r="F536" s="105">
        <v>106</v>
      </c>
      <c r="G536" s="105">
        <f>CPU!H1330</f>
        <v>156.78600000000003</v>
      </c>
      <c r="H536" s="8">
        <f t="shared" si="10"/>
        <v>16619.316000000003</v>
      </c>
    </row>
    <row r="537" spans="2:8" ht="25.5">
      <c r="B537" s="258" t="s">
        <v>2609</v>
      </c>
      <c r="C537" s="251" t="s">
        <v>2133</v>
      </c>
      <c r="D537" s="216" t="s">
        <v>1935</v>
      </c>
      <c r="E537" s="99" t="s">
        <v>37</v>
      </c>
      <c r="F537" s="5">
        <v>413</v>
      </c>
      <c r="G537" s="105">
        <f>CPU!H1339</f>
        <v>48.464000000000006</v>
      </c>
      <c r="H537" s="8">
        <f t="shared" si="10"/>
        <v>20015.632000000001</v>
      </c>
    </row>
    <row r="538" spans="2:8" ht="38.25">
      <c r="B538" s="258" t="s">
        <v>2610</v>
      </c>
      <c r="C538" s="251" t="s">
        <v>909</v>
      </c>
      <c r="D538" s="3" t="s">
        <v>910</v>
      </c>
      <c r="E538" s="4" t="s">
        <v>37</v>
      </c>
      <c r="F538" s="105">
        <v>4</v>
      </c>
      <c r="G538" s="105">
        <v>72.48</v>
      </c>
      <c r="H538" s="8">
        <f t="shared" si="10"/>
        <v>289.92</v>
      </c>
    </row>
    <row r="539" spans="2:8" s="212" customFormat="1" ht="15" customHeight="1">
      <c r="B539" s="250" t="s">
        <v>914</v>
      </c>
      <c r="C539" s="250"/>
      <c r="D539" s="268" t="s">
        <v>915</v>
      </c>
      <c r="E539" s="268"/>
      <c r="F539" s="268"/>
      <c r="G539" s="268"/>
      <c r="H539" s="271" t="s">
        <v>1155</v>
      </c>
    </row>
    <row r="540" spans="2:8" ht="38.25">
      <c r="B540" s="258" t="s">
        <v>2611</v>
      </c>
      <c r="C540" s="251" t="s">
        <v>916</v>
      </c>
      <c r="D540" s="3" t="s">
        <v>917</v>
      </c>
      <c r="E540" s="4" t="s">
        <v>37</v>
      </c>
      <c r="F540" s="5" t="s">
        <v>918</v>
      </c>
      <c r="G540" s="105">
        <v>25.69</v>
      </c>
      <c r="H540" s="8">
        <f t="shared" si="10"/>
        <v>1669.8500000000001</v>
      </c>
    </row>
    <row r="541" spans="2:8" ht="38.25">
      <c r="B541" s="258" t="s">
        <v>2612</v>
      </c>
      <c r="C541" s="251" t="s">
        <v>919</v>
      </c>
      <c r="D541" s="3" t="s">
        <v>920</v>
      </c>
      <c r="E541" s="4" t="s">
        <v>37</v>
      </c>
      <c r="F541" s="5" t="s">
        <v>729</v>
      </c>
      <c r="G541" s="105">
        <v>31.73</v>
      </c>
      <c r="H541" s="8">
        <f t="shared" si="10"/>
        <v>2919.16</v>
      </c>
    </row>
    <row r="542" spans="2:8" ht="38.25">
      <c r="B542" s="258" t="s">
        <v>2613</v>
      </c>
      <c r="C542" s="251" t="s">
        <v>921</v>
      </c>
      <c r="D542" s="3" t="s">
        <v>922</v>
      </c>
      <c r="E542" s="4" t="s">
        <v>37</v>
      </c>
      <c r="F542" s="5" t="s">
        <v>314</v>
      </c>
      <c r="G542" s="105">
        <v>40.69</v>
      </c>
      <c r="H542" s="8">
        <f t="shared" si="10"/>
        <v>1953.12</v>
      </c>
    </row>
    <row r="543" spans="2:8" ht="38.25">
      <c r="B543" s="258" t="s">
        <v>2614</v>
      </c>
      <c r="C543" s="251" t="s">
        <v>923</v>
      </c>
      <c r="D543" s="3" t="s">
        <v>924</v>
      </c>
      <c r="E543" s="4" t="s">
        <v>37</v>
      </c>
      <c r="F543" s="5" t="s">
        <v>925</v>
      </c>
      <c r="G543" s="105">
        <v>55.7</v>
      </c>
      <c r="H543" s="8">
        <f t="shared" si="10"/>
        <v>1448.2</v>
      </c>
    </row>
    <row r="544" spans="2:8" s="212" customFormat="1" ht="15" customHeight="1">
      <c r="B544" s="250" t="s">
        <v>926</v>
      </c>
      <c r="C544" s="250"/>
      <c r="D544" s="268" t="s">
        <v>927</v>
      </c>
      <c r="E544" s="268"/>
      <c r="F544" s="268"/>
      <c r="G544" s="268"/>
      <c r="H544" s="271" t="s">
        <v>1155</v>
      </c>
    </row>
    <row r="545" spans="2:8" ht="25.5">
      <c r="B545" s="251" t="s">
        <v>2615</v>
      </c>
      <c r="C545" s="251" t="s">
        <v>2204</v>
      </c>
      <c r="D545" s="214" t="s">
        <v>928</v>
      </c>
      <c r="E545" s="4" t="s">
        <v>37</v>
      </c>
      <c r="F545" s="5" t="s">
        <v>25</v>
      </c>
      <c r="G545" s="105">
        <f>CPU!H1347</f>
        <v>139.39599999999999</v>
      </c>
      <c r="H545" s="8">
        <f t="shared" si="10"/>
        <v>3763.6919999999996</v>
      </c>
    </row>
    <row r="546" spans="2:8" ht="38.25">
      <c r="B546" s="251" t="s">
        <v>2616</v>
      </c>
      <c r="C546" s="251" t="s">
        <v>929</v>
      </c>
      <c r="D546" s="3" t="s">
        <v>930</v>
      </c>
      <c r="E546" s="4" t="s">
        <v>37</v>
      </c>
      <c r="F546" s="5" t="s">
        <v>931</v>
      </c>
      <c r="G546" s="105">
        <v>38.97</v>
      </c>
      <c r="H546" s="8">
        <f t="shared" si="10"/>
        <v>7053.57</v>
      </c>
    </row>
    <row r="547" spans="2:8" ht="38.25">
      <c r="B547" s="251" t="s">
        <v>2617</v>
      </c>
      <c r="C547" s="251" t="s">
        <v>932</v>
      </c>
      <c r="D547" s="3" t="s">
        <v>933</v>
      </c>
      <c r="E547" s="4" t="s">
        <v>37</v>
      </c>
      <c r="F547" s="5" t="s">
        <v>934</v>
      </c>
      <c r="G547" s="105">
        <v>43.63</v>
      </c>
      <c r="H547" s="8">
        <f t="shared" si="10"/>
        <v>12478.18</v>
      </c>
    </row>
    <row r="548" spans="2:8" ht="38.25">
      <c r="B548" s="251" t="s">
        <v>2618</v>
      </c>
      <c r="C548" s="251" t="s">
        <v>935</v>
      </c>
      <c r="D548" s="3" t="s">
        <v>936</v>
      </c>
      <c r="E548" s="4" t="s">
        <v>37</v>
      </c>
      <c r="F548" s="5" t="s">
        <v>937</v>
      </c>
      <c r="G548" s="105">
        <v>69.97</v>
      </c>
      <c r="H548" s="8">
        <f t="shared" si="10"/>
        <v>9725.83</v>
      </c>
    </row>
    <row r="549" spans="2:8" ht="15" customHeight="1">
      <c r="B549" s="251"/>
      <c r="C549" s="7"/>
      <c r="D549" s="274" t="s">
        <v>1190</v>
      </c>
      <c r="E549" s="275"/>
      <c r="F549" s="276"/>
      <c r="G549" s="276"/>
      <c r="H549" s="277">
        <f>SUM(H533:H548)</f>
        <v>244440.49000000002</v>
      </c>
    </row>
    <row r="550" spans="2:8">
      <c r="B550" s="250" t="s">
        <v>938</v>
      </c>
      <c r="C550" s="250"/>
      <c r="D550" s="268" t="s">
        <v>939</v>
      </c>
      <c r="E550" s="281"/>
      <c r="F550" s="281"/>
      <c r="G550" s="281"/>
      <c r="H550" s="282" t="s">
        <v>1155</v>
      </c>
    </row>
    <row r="551" spans="2:8" ht="25.5">
      <c r="B551" s="251" t="s">
        <v>2619</v>
      </c>
      <c r="C551" s="251" t="s">
        <v>2205</v>
      </c>
      <c r="D551" s="3" t="s">
        <v>940</v>
      </c>
      <c r="E551" s="4" t="s">
        <v>663</v>
      </c>
      <c r="F551" s="5" t="s">
        <v>38</v>
      </c>
      <c r="G551" s="105">
        <f>CPU!H1379</f>
        <v>4523.2404299999998</v>
      </c>
      <c r="H551" s="8">
        <f t="shared" si="10"/>
        <v>4523.2404299999998</v>
      </c>
    </row>
    <row r="552" spans="2:8" ht="38.25">
      <c r="B552" s="251" t="s">
        <v>2620</v>
      </c>
      <c r="C552" s="251" t="s">
        <v>2206</v>
      </c>
      <c r="D552" s="3" t="s">
        <v>941</v>
      </c>
      <c r="E552" s="4" t="s">
        <v>37</v>
      </c>
      <c r="F552" s="5" t="s">
        <v>803</v>
      </c>
      <c r="G552" s="105">
        <f>CPU!H1384</f>
        <v>17.022400000000001</v>
      </c>
      <c r="H552" s="8">
        <f t="shared" si="10"/>
        <v>3149.1440000000002</v>
      </c>
    </row>
    <row r="553" spans="2:8" ht="26.25" customHeight="1">
      <c r="B553" s="251" t="s">
        <v>2621</v>
      </c>
      <c r="C553" s="251" t="s">
        <v>942</v>
      </c>
      <c r="D553" s="3" t="s">
        <v>943</v>
      </c>
      <c r="E553" s="4" t="s">
        <v>15</v>
      </c>
      <c r="F553" s="5" t="s">
        <v>944</v>
      </c>
      <c r="G553" s="105">
        <v>67.23</v>
      </c>
      <c r="H553" s="8">
        <f t="shared" si="10"/>
        <v>37312.65</v>
      </c>
    </row>
    <row r="554" spans="2:8" ht="15" customHeight="1">
      <c r="B554" s="251"/>
      <c r="C554" s="251"/>
      <c r="D554" s="274" t="s">
        <v>1191</v>
      </c>
      <c r="E554" s="275"/>
      <c r="F554" s="276"/>
      <c r="G554" s="276"/>
      <c r="H554" s="277">
        <f>SUM(H551:H553)</f>
        <v>44985.03443</v>
      </c>
    </row>
    <row r="555" spans="2:8" s="212" customFormat="1" ht="15" customHeight="1">
      <c r="B555" s="244" t="s">
        <v>945</v>
      </c>
      <c r="C555" s="244"/>
      <c r="D555" s="245" t="s">
        <v>946</v>
      </c>
      <c r="E555" s="245"/>
      <c r="F555" s="245"/>
      <c r="G555" s="245"/>
      <c r="H555" s="279" t="s">
        <v>1155</v>
      </c>
    </row>
    <row r="556" spans="2:8" s="212" customFormat="1" ht="15" customHeight="1">
      <c r="B556" s="250" t="s">
        <v>947</v>
      </c>
      <c r="C556" s="250"/>
      <c r="D556" s="268" t="s">
        <v>948</v>
      </c>
      <c r="E556" s="268"/>
      <c r="F556" s="268"/>
      <c r="G556" s="268"/>
      <c r="H556" s="271" t="s">
        <v>1155</v>
      </c>
    </row>
    <row r="557" spans="2:8" ht="25.5">
      <c r="B557" s="251" t="s">
        <v>2622</v>
      </c>
      <c r="C557" s="251" t="s">
        <v>2135</v>
      </c>
      <c r="D557" s="214" t="s">
        <v>949</v>
      </c>
      <c r="E557" s="4" t="s">
        <v>37</v>
      </c>
      <c r="F557" s="5" t="s">
        <v>38</v>
      </c>
      <c r="G557" s="105">
        <f>CPU!H1390</f>
        <v>4630.9800000000005</v>
      </c>
      <c r="H557" s="8">
        <f t="shared" si="10"/>
        <v>4630.9800000000005</v>
      </c>
    </row>
    <row r="558" spans="2:8" ht="27.75" customHeight="1">
      <c r="B558" s="251" t="s">
        <v>2623</v>
      </c>
      <c r="C558" s="251" t="s">
        <v>2137</v>
      </c>
      <c r="D558" s="3" t="s">
        <v>950</v>
      </c>
      <c r="E558" s="4" t="s">
        <v>37</v>
      </c>
      <c r="F558" s="5" t="s">
        <v>588</v>
      </c>
      <c r="G558" s="105">
        <f>CPU!H1405</f>
        <v>276.85674999999998</v>
      </c>
      <c r="H558" s="8">
        <f t="shared" si="10"/>
        <v>1384.2837499999998</v>
      </c>
    </row>
    <row r="559" spans="2:8" ht="30" customHeight="1">
      <c r="B559" s="251" t="s">
        <v>2624</v>
      </c>
      <c r="C559" s="251" t="s">
        <v>2140</v>
      </c>
      <c r="D559" s="3" t="s">
        <v>951</v>
      </c>
      <c r="E559" s="4" t="s">
        <v>37</v>
      </c>
      <c r="F559" s="5" t="s">
        <v>38</v>
      </c>
      <c r="G559" s="105">
        <f>CPU!H1420</f>
        <v>1630.669494</v>
      </c>
      <c r="H559" s="8">
        <f t="shared" si="10"/>
        <v>1630.669494</v>
      </c>
    </row>
    <row r="560" spans="2:8" ht="25.5">
      <c r="B560" s="251" t="s">
        <v>2625</v>
      </c>
      <c r="C560" s="251" t="s">
        <v>2230</v>
      </c>
      <c r="D560" s="3" t="s">
        <v>952</v>
      </c>
      <c r="E560" s="4" t="s">
        <v>37</v>
      </c>
      <c r="F560" s="5" t="s">
        <v>38</v>
      </c>
      <c r="G560" s="105">
        <v>926.58</v>
      </c>
      <c r="H560" s="8">
        <f t="shared" si="10"/>
        <v>926.58</v>
      </c>
    </row>
    <row r="561" spans="2:8" ht="24.75" customHeight="1">
      <c r="B561" s="251" t="s">
        <v>2626</v>
      </c>
      <c r="C561" s="251" t="s">
        <v>2231</v>
      </c>
      <c r="D561" s="3" t="s">
        <v>953</v>
      </c>
      <c r="E561" s="4" t="s">
        <v>37</v>
      </c>
      <c r="F561" s="5" t="s">
        <v>38</v>
      </c>
      <c r="G561" s="105">
        <v>380.01</v>
      </c>
      <c r="H561" s="8">
        <f t="shared" si="10"/>
        <v>380.01</v>
      </c>
    </row>
    <row r="562" spans="2:8" s="212" customFormat="1" ht="15" customHeight="1">
      <c r="B562" s="250" t="s">
        <v>954</v>
      </c>
      <c r="C562" s="250"/>
      <c r="D562" s="268" t="s">
        <v>955</v>
      </c>
      <c r="E562" s="268"/>
      <c r="F562" s="268"/>
      <c r="G562" s="268"/>
      <c r="H562" s="271" t="s">
        <v>1155</v>
      </c>
    </row>
    <row r="563" spans="2:8" ht="51">
      <c r="B563" s="251" t="s">
        <v>2627</v>
      </c>
      <c r="C563" s="251" t="s">
        <v>2232</v>
      </c>
      <c r="D563" s="3" t="s">
        <v>956</v>
      </c>
      <c r="E563" s="4" t="s">
        <v>37</v>
      </c>
      <c r="F563" s="5" t="s">
        <v>38</v>
      </c>
      <c r="G563" s="105">
        <v>265.51</v>
      </c>
      <c r="H563" s="8">
        <f t="shared" si="10"/>
        <v>265.51</v>
      </c>
    </row>
    <row r="564" spans="2:8" ht="51">
      <c r="B564" s="251" t="s">
        <v>2628</v>
      </c>
      <c r="C564" s="251" t="s">
        <v>2233</v>
      </c>
      <c r="D564" s="3" t="s">
        <v>957</v>
      </c>
      <c r="E564" s="4" t="s">
        <v>37</v>
      </c>
      <c r="F564" s="5" t="s">
        <v>583</v>
      </c>
      <c r="G564" s="105">
        <v>138.62</v>
      </c>
      <c r="H564" s="8">
        <f t="shared" si="10"/>
        <v>831.72</v>
      </c>
    </row>
    <row r="565" spans="2:8" s="212" customFormat="1" ht="15" customHeight="1">
      <c r="B565" s="250" t="s">
        <v>958</v>
      </c>
      <c r="C565" s="250"/>
      <c r="D565" s="268" t="s">
        <v>959</v>
      </c>
      <c r="E565" s="268"/>
      <c r="F565" s="268"/>
      <c r="G565" s="268"/>
      <c r="H565" s="271" t="s">
        <v>1155</v>
      </c>
    </row>
    <row r="566" spans="2:8" ht="38.25">
      <c r="B566" s="251" t="s">
        <v>2629</v>
      </c>
      <c r="C566" s="251" t="s">
        <v>2108</v>
      </c>
      <c r="D566" s="3" t="s">
        <v>891</v>
      </c>
      <c r="E566" s="4" t="s">
        <v>15</v>
      </c>
      <c r="F566" s="5">
        <v>12</v>
      </c>
      <c r="G566" s="105">
        <f>CPU!H1242</f>
        <v>58.806646643914917</v>
      </c>
      <c r="H566" s="8">
        <f t="shared" ref="H566:H634" si="11">F566*G566</f>
        <v>705.679759726979</v>
      </c>
    </row>
    <row r="567" spans="2:8" ht="38.25">
      <c r="B567" s="251" t="s">
        <v>2630</v>
      </c>
      <c r="C567" s="251" t="s">
        <v>2116</v>
      </c>
      <c r="D567" s="3" t="s">
        <v>892</v>
      </c>
      <c r="E567" s="4" t="s">
        <v>15</v>
      </c>
      <c r="F567" s="5" t="s">
        <v>583</v>
      </c>
      <c r="G567" s="105">
        <f>CPU!H1257</f>
        <v>56.177036528007406</v>
      </c>
      <c r="H567" s="8">
        <f t="shared" si="11"/>
        <v>337.06221916804441</v>
      </c>
    </row>
    <row r="568" spans="2:8" ht="27.75" customHeight="1">
      <c r="B568" s="251" t="s">
        <v>2631</v>
      </c>
      <c r="C568" s="251" t="s">
        <v>2141</v>
      </c>
      <c r="D568" s="3" t="s">
        <v>960</v>
      </c>
      <c r="E568" s="4" t="s">
        <v>15</v>
      </c>
      <c r="F568" s="5" t="s">
        <v>583</v>
      </c>
      <c r="G568" s="105">
        <f>CPU!H1435</f>
        <v>65.12766883678492</v>
      </c>
      <c r="H568" s="8">
        <f t="shared" si="11"/>
        <v>390.76601302070952</v>
      </c>
    </row>
    <row r="569" spans="2:8" ht="27.75" customHeight="1">
      <c r="B569" s="251" t="s">
        <v>2632</v>
      </c>
      <c r="C569" s="251" t="s">
        <v>2123</v>
      </c>
      <c r="D569" s="3" t="s">
        <v>894</v>
      </c>
      <c r="E569" s="4" t="s">
        <v>15</v>
      </c>
      <c r="F569" s="5">
        <v>10</v>
      </c>
      <c r="G569" s="105">
        <f>CPU!H1287</f>
        <v>86.43270273561842</v>
      </c>
      <c r="H569" s="8">
        <f t="shared" si="11"/>
        <v>864.3270273561842</v>
      </c>
    </row>
    <row r="570" spans="2:8" ht="38.25">
      <c r="B570" s="251" t="s">
        <v>2633</v>
      </c>
      <c r="C570" s="251" t="s">
        <v>2144</v>
      </c>
      <c r="D570" s="3" t="s">
        <v>961</v>
      </c>
      <c r="E570" s="4" t="s">
        <v>15</v>
      </c>
      <c r="F570" s="5" t="s">
        <v>593</v>
      </c>
      <c r="G570" s="105">
        <f>CPU!H1451</f>
        <v>91.157839630218433</v>
      </c>
      <c r="H570" s="8">
        <f t="shared" si="11"/>
        <v>638.10487741152906</v>
      </c>
    </row>
    <row r="571" spans="2:8" ht="38.25">
      <c r="B571" s="251" t="s">
        <v>2634</v>
      </c>
      <c r="C571" s="251" t="s">
        <v>2200</v>
      </c>
      <c r="D571" s="3" t="s">
        <v>699</v>
      </c>
      <c r="E571" s="4" t="s">
        <v>24</v>
      </c>
      <c r="F571" s="5">
        <v>8.6</v>
      </c>
      <c r="G571" s="105">
        <f>CPU!H993</f>
        <v>21.350875880640004</v>
      </c>
      <c r="H571" s="8">
        <f t="shared" si="11"/>
        <v>183.61753257350404</v>
      </c>
    </row>
    <row r="572" spans="2:8" ht="38.25">
      <c r="B572" s="251" t="s">
        <v>2635</v>
      </c>
      <c r="C572" s="251" t="s">
        <v>840</v>
      </c>
      <c r="D572" s="3" t="s">
        <v>841</v>
      </c>
      <c r="E572" s="4" t="s">
        <v>15</v>
      </c>
      <c r="F572" s="5" t="s">
        <v>962</v>
      </c>
      <c r="G572" s="105">
        <v>13.7</v>
      </c>
      <c r="H572" s="8">
        <f t="shared" si="11"/>
        <v>6534.9</v>
      </c>
    </row>
    <row r="573" spans="2:8" ht="38.25">
      <c r="B573" s="251" t="s">
        <v>2636</v>
      </c>
      <c r="C573" s="251" t="s">
        <v>842</v>
      </c>
      <c r="D573" s="3" t="s">
        <v>843</v>
      </c>
      <c r="E573" s="4" t="s">
        <v>15</v>
      </c>
      <c r="F573" s="5" t="s">
        <v>46</v>
      </c>
      <c r="G573" s="105">
        <v>17.61</v>
      </c>
      <c r="H573" s="8">
        <f t="shared" si="11"/>
        <v>281.76</v>
      </c>
    </row>
    <row r="574" spans="2:8" ht="40.5" customHeight="1">
      <c r="B574" s="251" t="s">
        <v>2637</v>
      </c>
      <c r="C574" s="251" t="s">
        <v>963</v>
      </c>
      <c r="D574" s="3" t="s">
        <v>964</v>
      </c>
      <c r="E574" s="4" t="s">
        <v>37</v>
      </c>
      <c r="F574" s="5" t="s">
        <v>965</v>
      </c>
      <c r="G574" s="105">
        <v>16.43</v>
      </c>
      <c r="H574" s="8">
        <f t="shared" si="11"/>
        <v>2070.1799999999998</v>
      </c>
    </row>
    <row r="575" spans="2:8" ht="39" customHeight="1">
      <c r="B575" s="251" t="s">
        <v>2638</v>
      </c>
      <c r="C575" s="251" t="s">
        <v>966</v>
      </c>
      <c r="D575" s="3" t="s">
        <v>967</v>
      </c>
      <c r="E575" s="4" t="s">
        <v>37</v>
      </c>
      <c r="F575" s="5" t="s">
        <v>49</v>
      </c>
      <c r="G575" s="105">
        <v>19.63</v>
      </c>
      <c r="H575" s="8">
        <f t="shared" si="11"/>
        <v>78.52</v>
      </c>
    </row>
    <row r="576" spans="2:8" ht="25.5">
      <c r="B576" s="251" t="s">
        <v>2639</v>
      </c>
      <c r="C576" s="251" t="s">
        <v>849</v>
      </c>
      <c r="D576" s="3" t="s">
        <v>850</v>
      </c>
      <c r="E576" s="4" t="s">
        <v>15</v>
      </c>
      <c r="F576" s="5" t="s">
        <v>968</v>
      </c>
      <c r="G576" s="105">
        <v>17.670000000000002</v>
      </c>
      <c r="H576" s="8">
        <f t="shared" si="11"/>
        <v>1448.94</v>
      </c>
    </row>
    <row r="577" spans="2:8" ht="25.5">
      <c r="B577" s="251" t="s">
        <v>2640</v>
      </c>
      <c r="C577" s="251" t="s">
        <v>969</v>
      </c>
      <c r="D577" s="3" t="s">
        <v>970</v>
      </c>
      <c r="E577" s="4" t="s">
        <v>15</v>
      </c>
      <c r="F577" s="5" t="s">
        <v>971</v>
      </c>
      <c r="G577" s="105">
        <v>37.04</v>
      </c>
      <c r="H577" s="8">
        <f t="shared" si="11"/>
        <v>3481.7599999999998</v>
      </c>
    </row>
    <row r="578" spans="2:8" ht="30" customHeight="1">
      <c r="B578" s="251" t="s">
        <v>2641</v>
      </c>
      <c r="C578" s="251" t="s">
        <v>854</v>
      </c>
      <c r="D578" s="3" t="s">
        <v>855</v>
      </c>
      <c r="E578" s="4" t="s">
        <v>37</v>
      </c>
      <c r="F578" s="5" t="s">
        <v>667</v>
      </c>
      <c r="G578" s="105">
        <v>22.17</v>
      </c>
      <c r="H578" s="8">
        <f t="shared" si="11"/>
        <v>288.21000000000004</v>
      </c>
    </row>
    <row r="579" spans="2:8" ht="28.5" customHeight="1">
      <c r="B579" s="251" t="s">
        <v>2642</v>
      </c>
      <c r="C579" s="251" t="s">
        <v>972</v>
      </c>
      <c r="D579" s="3" t="s">
        <v>973</v>
      </c>
      <c r="E579" s="4" t="s">
        <v>37</v>
      </c>
      <c r="F579" s="5" t="s">
        <v>367</v>
      </c>
      <c r="G579" s="105">
        <v>49.83</v>
      </c>
      <c r="H579" s="8">
        <f t="shared" si="11"/>
        <v>99.66</v>
      </c>
    </row>
    <row r="580" spans="2:8" ht="63.75">
      <c r="B580" s="251" t="s">
        <v>2643</v>
      </c>
      <c r="C580" s="251" t="s">
        <v>974</v>
      </c>
      <c r="D580" s="3" t="s">
        <v>975</v>
      </c>
      <c r="E580" s="4" t="s">
        <v>37</v>
      </c>
      <c r="F580" s="5" t="s">
        <v>367</v>
      </c>
      <c r="G580" s="105">
        <v>313.58</v>
      </c>
      <c r="H580" s="8">
        <f t="shared" si="11"/>
        <v>627.16</v>
      </c>
    </row>
    <row r="581" spans="2:8" s="212" customFormat="1" ht="15" customHeight="1">
      <c r="B581" s="250" t="s">
        <v>976</v>
      </c>
      <c r="C581" s="250"/>
      <c r="D581" s="268" t="s">
        <v>857</v>
      </c>
      <c r="E581" s="268"/>
      <c r="F581" s="268"/>
      <c r="G581" s="268"/>
      <c r="H581" s="271" t="s">
        <v>1155</v>
      </c>
    </row>
    <row r="582" spans="2:8" ht="25.5">
      <c r="B582" s="251" t="s">
        <v>2644</v>
      </c>
      <c r="C582" s="251" t="s">
        <v>2145</v>
      </c>
      <c r="D582" s="214" t="s">
        <v>977</v>
      </c>
      <c r="E582" s="4" t="s">
        <v>15</v>
      </c>
      <c r="F582" s="5" t="s">
        <v>978</v>
      </c>
      <c r="G582" s="105">
        <f>CPU!H1457</f>
        <v>69.551400000000001</v>
      </c>
      <c r="H582" s="8">
        <f t="shared" si="11"/>
        <v>8067.9624000000003</v>
      </c>
    </row>
    <row r="583" spans="2:8" ht="15" customHeight="1">
      <c r="B583" s="251" t="s">
        <v>2645</v>
      </c>
      <c r="C583" s="251" t="s">
        <v>2207</v>
      </c>
      <c r="D583" s="3" t="s">
        <v>2208</v>
      </c>
      <c r="E583" s="4" t="s">
        <v>15</v>
      </c>
      <c r="F583" s="5" t="s">
        <v>979</v>
      </c>
      <c r="G583" s="105">
        <v>4.58</v>
      </c>
      <c r="H583" s="8">
        <f t="shared" si="11"/>
        <v>490.06</v>
      </c>
    </row>
    <row r="584" spans="2:8" ht="25.5" customHeight="1">
      <c r="B584" s="251" t="s">
        <v>2646</v>
      </c>
      <c r="C584" s="251" t="s">
        <v>980</v>
      </c>
      <c r="D584" s="3" t="s">
        <v>981</v>
      </c>
      <c r="E584" s="4" t="s">
        <v>15</v>
      </c>
      <c r="F584" s="5" t="s">
        <v>982</v>
      </c>
      <c r="G584" s="105">
        <v>19.73</v>
      </c>
      <c r="H584" s="8">
        <f t="shared" si="11"/>
        <v>2722.7400000000002</v>
      </c>
    </row>
    <row r="585" spans="2:8" ht="38.25">
      <c r="B585" s="251" t="s">
        <v>2647</v>
      </c>
      <c r="C585" s="251" t="s">
        <v>983</v>
      </c>
      <c r="D585" s="3" t="s">
        <v>984</v>
      </c>
      <c r="E585" s="4" t="s">
        <v>15</v>
      </c>
      <c r="F585" s="5" t="s">
        <v>985</v>
      </c>
      <c r="G585" s="105">
        <v>3.47</v>
      </c>
      <c r="H585" s="8">
        <f t="shared" si="11"/>
        <v>7717.2800000000007</v>
      </c>
    </row>
    <row r="586" spans="2:8" s="212" customFormat="1" ht="15" customHeight="1">
      <c r="B586" s="251"/>
      <c r="C586" s="251"/>
      <c r="D586" s="274" t="s">
        <v>1192</v>
      </c>
      <c r="E586" s="275"/>
      <c r="F586" s="276"/>
      <c r="G586" s="276"/>
      <c r="H586" s="277">
        <f>SUM(H557:H585)</f>
        <v>47078.443073256938</v>
      </c>
    </row>
    <row r="587" spans="2:8" s="212" customFormat="1" ht="15" customHeight="1">
      <c r="B587" s="244" t="s">
        <v>986</v>
      </c>
      <c r="C587" s="244"/>
      <c r="D587" s="245" t="s">
        <v>987</v>
      </c>
      <c r="E587" s="245"/>
      <c r="F587" s="245"/>
      <c r="G587" s="245"/>
      <c r="H587" s="279" t="s">
        <v>1155</v>
      </c>
    </row>
    <row r="588" spans="2:8" s="212" customFormat="1" ht="15" customHeight="1">
      <c r="B588" s="250" t="s">
        <v>988</v>
      </c>
      <c r="C588" s="250"/>
      <c r="D588" s="268" t="s">
        <v>989</v>
      </c>
      <c r="E588" s="268"/>
      <c r="F588" s="268"/>
      <c r="G588" s="268"/>
      <c r="H588" s="271" t="s">
        <v>1155</v>
      </c>
    </row>
    <row r="589" spans="2:8" ht="25.5">
      <c r="B589" s="251" t="s">
        <v>2648</v>
      </c>
      <c r="C589" s="251" t="s">
        <v>2146</v>
      </c>
      <c r="D589" s="214" t="s">
        <v>990</v>
      </c>
      <c r="E589" s="4" t="s">
        <v>37</v>
      </c>
      <c r="F589" s="5" t="s">
        <v>38</v>
      </c>
      <c r="G589" s="105">
        <f>CPU!H1462</f>
        <v>1228.9721079999999</v>
      </c>
      <c r="H589" s="8">
        <f t="shared" si="11"/>
        <v>1228.9721079999999</v>
      </c>
    </row>
    <row r="590" spans="2:8" s="212" customFormat="1" ht="15" customHeight="1">
      <c r="B590" s="250" t="s">
        <v>991</v>
      </c>
      <c r="C590" s="250"/>
      <c r="D590" s="268" t="s">
        <v>992</v>
      </c>
      <c r="E590" s="268"/>
      <c r="F590" s="268"/>
      <c r="G590" s="268"/>
      <c r="H590" s="271" t="s">
        <v>1155</v>
      </c>
    </row>
    <row r="591" spans="2:8" ht="15" customHeight="1">
      <c r="B591" s="251" t="s">
        <v>2649</v>
      </c>
      <c r="C591" s="251" t="s">
        <v>993</v>
      </c>
      <c r="D591" s="214" t="s">
        <v>994</v>
      </c>
      <c r="E591" s="4" t="s">
        <v>37</v>
      </c>
      <c r="F591" s="5" t="s">
        <v>614</v>
      </c>
      <c r="G591" s="284">
        <v>260.14</v>
      </c>
      <c r="H591" s="8">
        <f t="shared" si="11"/>
        <v>5462.94</v>
      </c>
    </row>
    <row r="592" spans="2:8" ht="15" customHeight="1">
      <c r="B592" s="251" t="s">
        <v>2650</v>
      </c>
      <c r="C592" s="251" t="s">
        <v>995</v>
      </c>
      <c r="D592" s="214" t="s">
        <v>996</v>
      </c>
      <c r="E592" s="4" t="s">
        <v>37</v>
      </c>
      <c r="F592" s="5" t="s">
        <v>289</v>
      </c>
      <c r="G592" s="284">
        <v>192.34</v>
      </c>
      <c r="H592" s="8">
        <f t="shared" si="11"/>
        <v>4231.4800000000005</v>
      </c>
    </row>
    <row r="593" spans="2:8" ht="15" customHeight="1">
      <c r="B593" s="251" t="s">
        <v>2651</v>
      </c>
      <c r="C593" s="251" t="s">
        <v>997</v>
      </c>
      <c r="D593" s="214" t="s">
        <v>998</v>
      </c>
      <c r="E593" s="4" t="s">
        <v>37</v>
      </c>
      <c r="F593" s="5" t="s">
        <v>611</v>
      </c>
      <c r="G593" s="284">
        <v>211.9</v>
      </c>
      <c r="H593" s="8">
        <f t="shared" si="11"/>
        <v>1695.2</v>
      </c>
    </row>
    <row r="594" spans="2:8" ht="15" customHeight="1">
      <c r="B594" s="251" t="s">
        <v>2652</v>
      </c>
      <c r="C594" s="251" t="s">
        <v>999</v>
      </c>
      <c r="D594" s="214" t="s">
        <v>1000</v>
      </c>
      <c r="E594" s="4" t="s">
        <v>37</v>
      </c>
      <c r="F594" s="5" t="s">
        <v>607</v>
      </c>
      <c r="G594" s="284">
        <v>211.9</v>
      </c>
      <c r="H594" s="8">
        <f t="shared" si="11"/>
        <v>31785</v>
      </c>
    </row>
    <row r="595" spans="2:8" s="212" customFormat="1" ht="15" customHeight="1">
      <c r="B595" s="250" t="s">
        <v>1001</v>
      </c>
      <c r="C595" s="250"/>
      <c r="D595" s="268" t="s">
        <v>805</v>
      </c>
      <c r="E595" s="268"/>
      <c r="F595" s="268"/>
      <c r="G595" s="268"/>
      <c r="H595" s="271" t="s">
        <v>1155</v>
      </c>
    </row>
    <row r="596" spans="2:8" ht="38.25">
      <c r="B596" s="251" t="s">
        <v>2653</v>
      </c>
      <c r="C596" s="251" t="s">
        <v>2200</v>
      </c>
      <c r="D596" s="3" t="s">
        <v>699</v>
      </c>
      <c r="E596" s="4" t="s">
        <v>24</v>
      </c>
      <c r="F596" s="5" t="s">
        <v>978</v>
      </c>
      <c r="G596" s="105">
        <f>CPU!H993</f>
        <v>21.350875880640004</v>
      </c>
      <c r="H596" s="8">
        <f t="shared" si="11"/>
        <v>2476.7016021542404</v>
      </c>
    </row>
    <row r="597" spans="2:8" ht="38.25">
      <c r="B597" s="251" t="s">
        <v>2654</v>
      </c>
      <c r="C597" s="251" t="s">
        <v>840</v>
      </c>
      <c r="D597" s="3" t="s">
        <v>841</v>
      </c>
      <c r="E597" s="4" t="s">
        <v>15</v>
      </c>
      <c r="F597" s="5" t="s">
        <v>700</v>
      </c>
      <c r="G597" s="105">
        <v>13.7</v>
      </c>
      <c r="H597" s="8">
        <f t="shared" si="11"/>
        <v>1000.0999999999999</v>
      </c>
    </row>
    <row r="598" spans="2:8" ht="38.25">
      <c r="B598" s="251" t="s">
        <v>2655</v>
      </c>
      <c r="C598" s="251" t="s">
        <v>842</v>
      </c>
      <c r="D598" s="3" t="s">
        <v>843</v>
      </c>
      <c r="E598" s="4" t="s">
        <v>15</v>
      </c>
      <c r="F598" s="5" t="s">
        <v>1002</v>
      </c>
      <c r="G598" s="105">
        <v>17.61</v>
      </c>
      <c r="H598" s="8">
        <f t="shared" si="11"/>
        <v>1320.75</v>
      </c>
    </row>
    <row r="599" spans="2:8" ht="39.75" customHeight="1">
      <c r="B599" s="251" t="s">
        <v>2656</v>
      </c>
      <c r="C599" s="251" t="s">
        <v>963</v>
      </c>
      <c r="D599" s="3" t="s">
        <v>964</v>
      </c>
      <c r="E599" s="4" t="s">
        <v>37</v>
      </c>
      <c r="F599" s="5" t="s">
        <v>593</v>
      </c>
      <c r="G599" s="105">
        <v>16.43</v>
      </c>
      <c r="H599" s="8">
        <f t="shared" si="11"/>
        <v>115.00999999999999</v>
      </c>
    </row>
    <row r="600" spans="2:8" ht="40.5" customHeight="1">
      <c r="B600" s="251" t="s">
        <v>2657</v>
      </c>
      <c r="C600" s="251" t="s">
        <v>966</v>
      </c>
      <c r="D600" s="3" t="s">
        <v>967</v>
      </c>
      <c r="E600" s="4" t="s">
        <v>37</v>
      </c>
      <c r="F600" s="5" t="s">
        <v>575</v>
      </c>
      <c r="G600" s="105">
        <v>19.63</v>
      </c>
      <c r="H600" s="8">
        <f t="shared" si="11"/>
        <v>176.67</v>
      </c>
    </row>
    <row r="601" spans="2:8" ht="41.25" customHeight="1">
      <c r="B601" s="251" t="s">
        <v>2658</v>
      </c>
      <c r="C601" s="251" t="s">
        <v>1003</v>
      </c>
      <c r="D601" s="3" t="s">
        <v>1004</v>
      </c>
      <c r="E601" s="4" t="s">
        <v>15</v>
      </c>
      <c r="F601" s="5" t="s">
        <v>1005</v>
      </c>
      <c r="G601" s="105">
        <v>29.22</v>
      </c>
      <c r="H601" s="8">
        <f t="shared" si="11"/>
        <v>27875.879999999997</v>
      </c>
    </row>
    <row r="602" spans="2:8" ht="38.25">
      <c r="B602" s="251" t="s">
        <v>2659</v>
      </c>
      <c r="C602" s="251" t="s">
        <v>1006</v>
      </c>
      <c r="D602" s="3" t="s">
        <v>1007</v>
      </c>
      <c r="E602" s="4" t="s">
        <v>15</v>
      </c>
      <c r="F602" s="5" t="s">
        <v>1008</v>
      </c>
      <c r="G602" s="105">
        <v>34.72</v>
      </c>
      <c r="H602" s="8">
        <f t="shared" si="11"/>
        <v>14061.6</v>
      </c>
    </row>
    <row r="603" spans="2:8" ht="37.5" customHeight="1">
      <c r="B603" s="251" t="s">
        <v>2660</v>
      </c>
      <c r="C603" s="251" t="s">
        <v>1009</v>
      </c>
      <c r="D603" s="3" t="s">
        <v>1010</v>
      </c>
      <c r="E603" s="4" t="s">
        <v>15</v>
      </c>
      <c r="F603" s="5" t="s">
        <v>1011</v>
      </c>
      <c r="G603" s="105">
        <v>53.9</v>
      </c>
      <c r="H603" s="8">
        <f t="shared" si="11"/>
        <v>3988.6</v>
      </c>
    </row>
    <row r="604" spans="2:8" ht="38.25" customHeight="1">
      <c r="B604" s="251" t="s">
        <v>2661</v>
      </c>
      <c r="C604" s="251" t="s">
        <v>1012</v>
      </c>
      <c r="D604" s="3" t="s">
        <v>1013</v>
      </c>
      <c r="E604" s="4" t="s">
        <v>37</v>
      </c>
      <c r="F604" s="5" t="s">
        <v>1014</v>
      </c>
      <c r="G604" s="105">
        <v>32.85</v>
      </c>
      <c r="H604" s="8">
        <f t="shared" si="11"/>
        <v>4599</v>
      </c>
    </row>
    <row r="605" spans="2:8" ht="38.25" customHeight="1">
      <c r="B605" s="251" t="s">
        <v>2662</v>
      </c>
      <c r="C605" s="251" t="s">
        <v>1015</v>
      </c>
      <c r="D605" s="3" t="s">
        <v>1016</v>
      </c>
      <c r="E605" s="4" t="s">
        <v>37</v>
      </c>
      <c r="F605" s="5" t="s">
        <v>913</v>
      </c>
      <c r="G605" s="105">
        <v>41.89</v>
      </c>
      <c r="H605" s="8">
        <f t="shared" si="11"/>
        <v>5655.15</v>
      </c>
    </row>
    <row r="606" spans="2:8" ht="42" customHeight="1">
      <c r="B606" s="251" t="s">
        <v>2663</v>
      </c>
      <c r="C606" s="251" t="s">
        <v>1017</v>
      </c>
      <c r="D606" s="3" t="s">
        <v>1018</v>
      </c>
      <c r="E606" s="4" t="s">
        <v>37</v>
      </c>
      <c r="F606" s="5" t="s">
        <v>583</v>
      </c>
      <c r="G606" s="105">
        <v>53.64</v>
      </c>
      <c r="H606" s="8">
        <f t="shared" si="11"/>
        <v>321.84000000000003</v>
      </c>
    </row>
    <row r="607" spans="2:8" s="212" customFormat="1" ht="15" customHeight="1">
      <c r="B607" s="250" t="s">
        <v>1019</v>
      </c>
      <c r="C607" s="250"/>
      <c r="D607" s="268" t="s">
        <v>857</v>
      </c>
      <c r="E607" s="268"/>
      <c r="F607" s="268"/>
      <c r="G607" s="268"/>
      <c r="H607" s="271" t="s">
        <v>1155</v>
      </c>
    </row>
    <row r="608" spans="2:8" ht="25.5">
      <c r="B608" s="251" t="s">
        <v>2664</v>
      </c>
      <c r="C608" s="251" t="s">
        <v>2148</v>
      </c>
      <c r="D608" s="214" t="s">
        <v>1020</v>
      </c>
      <c r="E608" s="4" t="s">
        <v>15</v>
      </c>
      <c r="F608" s="5" t="s">
        <v>1021</v>
      </c>
      <c r="G608" s="105">
        <f>CPU!H1468</f>
        <v>8.2226999999999997</v>
      </c>
      <c r="H608" s="8">
        <f t="shared" si="11"/>
        <v>4637.6027999999997</v>
      </c>
    </row>
    <row r="609" spans="2:8" ht="25.5">
      <c r="B609" s="251" t="s">
        <v>2665</v>
      </c>
      <c r="C609" s="251" t="s">
        <v>2149</v>
      </c>
      <c r="D609" s="214" t="s">
        <v>1022</v>
      </c>
      <c r="E609" s="4" t="s">
        <v>15</v>
      </c>
      <c r="F609" s="5" t="s">
        <v>1023</v>
      </c>
      <c r="G609" s="105">
        <f>CPU!H1474</f>
        <v>8.8106999999999989</v>
      </c>
      <c r="H609" s="8">
        <f t="shared" si="11"/>
        <v>8105.8439999999991</v>
      </c>
    </row>
    <row r="610" spans="2:8" s="212" customFormat="1" ht="15" customHeight="1">
      <c r="B610" s="250" t="s">
        <v>1024</v>
      </c>
      <c r="C610" s="250"/>
      <c r="D610" s="268" t="s">
        <v>1025</v>
      </c>
      <c r="E610" s="268"/>
      <c r="F610" s="268"/>
      <c r="G610" s="268"/>
      <c r="H610" s="271" t="s">
        <v>1155</v>
      </c>
    </row>
    <row r="611" spans="2:8" ht="25.5">
      <c r="B611" s="251" t="s">
        <v>2666</v>
      </c>
      <c r="C611" s="251" t="s">
        <v>2150</v>
      </c>
      <c r="D611" s="214" t="s">
        <v>1026</v>
      </c>
      <c r="E611" s="4" t="s">
        <v>37</v>
      </c>
      <c r="F611" s="5" t="s">
        <v>49</v>
      </c>
      <c r="G611" s="105">
        <f>CPU!H1480</f>
        <v>216.64573899999999</v>
      </c>
      <c r="H611" s="8">
        <f t="shared" si="11"/>
        <v>866.58295599999997</v>
      </c>
    </row>
    <row r="612" spans="2:8" ht="38.25">
      <c r="B612" s="251" t="s">
        <v>2667</v>
      </c>
      <c r="C612" s="251">
        <v>37556</v>
      </c>
      <c r="D612" s="3" t="s">
        <v>1027</v>
      </c>
      <c r="E612" s="4" t="s">
        <v>37</v>
      </c>
      <c r="F612" s="5" t="s">
        <v>1002</v>
      </c>
      <c r="G612" s="105">
        <v>27.94</v>
      </c>
      <c r="H612" s="8">
        <f t="shared" si="11"/>
        <v>2095.5</v>
      </c>
    </row>
    <row r="613" spans="2:8" ht="39.75" customHeight="1">
      <c r="B613" s="251" t="s">
        <v>2668</v>
      </c>
      <c r="C613" s="251">
        <v>37559</v>
      </c>
      <c r="D613" s="3" t="s">
        <v>1028</v>
      </c>
      <c r="E613" s="4" t="s">
        <v>37</v>
      </c>
      <c r="F613" s="5" t="s">
        <v>49</v>
      </c>
      <c r="G613" s="105">
        <v>34.28</v>
      </c>
      <c r="H613" s="8">
        <f t="shared" si="11"/>
        <v>137.12</v>
      </c>
    </row>
    <row r="614" spans="2:8" ht="38.25">
      <c r="B614" s="251" t="s">
        <v>2669</v>
      </c>
      <c r="C614" s="251">
        <v>37560</v>
      </c>
      <c r="D614" s="3" t="s">
        <v>1029</v>
      </c>
      <c r="E614" s="4" t="s">
        <v>37</v>
      </c>
      <c r="F614" s="5" t="s">
        <v>1030</v>
      </c>
      <c r="G614" s="105">
        <v>47.56</v>
      </c>
      <c r="H614" s="8">
        <f t="shared" si="11"/>
        <v>6373.04</v>
      </c>
    </row>
    <row r="615" spans="2:8" ht="38.25">
      <c r="B615" s="251" t="s">
        <v>2670</v>
      </c>
      <c r="C615" s="251">
        <v>37561</v>
      </c>
      <c r="D615" s="3" t="s">
        <v>1031</v>
      </c>
      <c r="E615" s="4" t="s">
        <v>37</v>
      </c>
      <c r="F615" s="5" t="s">
        <v>583</v>
      </c>
      <c r="G615" s="105" t="s">
        <v>1032</v>
      </c>
      <c r="H615" s="8">
        <f t="shared" si="11"/>
        <v>379.5</v>
      </c>
    </row>
    <row r="616" spans="2:8" ht="25.5">
      <c r="B616" s="251" t="s">
        <v>2671</v>
      </c>
      <c r="C616" s="251" t="s">
        <v>911</v>
      </c>
      <c r="D616" s="3" t="s">
        <v>912</v>
      </c>
      <c r="E616" s="4" t="s">
        <v>37</v>
      </c>
      <c r="F616" s="5" t="s">
        <v>913</v>
      </c>
      <c r="G616" s="105">
        <v>29.78</v>
      </c>
      <c r="H616" s="8">
        <f t="shared" si="11"/>
        <v>4020.3</v>
      </c>
    </row>
    <row r="617" spans="2:8" ht="15" customHeight="1">
      <c r="B617" s="251"/>
      <c r="C617" s="251"/>
      <c r="D617" s="274" t="s">
        <v>1193</v>
      </c>
      <c r="E617" s="275"/>
      <c r="F617" s="276"/>
      <c r="G617" s="276"/>
      <c r="H617" s="277">
        <f>SUM(H589:H616)</f>
        <v>132610.38346615419</v>
      </c>
    </row>
    <row r="618" spans="2:8" s="212" customFormat="1" ht="20.100000000000001" customHeight="1">
      <c r="B618" s="253"/>
      <c r="C618" s="259"/>
      <c r="D618" s="260" t="s">
        <v>2799</v>
      </c>
      <c r="E618" s="261"/>
      <c r="F618" s="262"/>
      <c r="G618" s="262"/>
      <c r="H618" s="263">
        <f>H530+H549+H554+H586+H617</f>
        <v>1098644.3413434215</v>
      </c>
    </row>
    <row r="619" spans="2:8" s="212" customFormat="1" ht="20.100000000000001" customHeight="1">
      <c r="B619" s="257" t="s">
        <v>1033</v>
      </c>
      <c r="C619" s="257"/>
      <c r="D619" s="286" t="s">
        <v>1034</v>
      </c>
      <c r="E619" s="286"/>
      <c r="F619" s="286"/>
      <c r="G619" s="286"/>
      <c r="H619" s="287" t="s">
        <v>1155</v>
      </c>
    </row>
    <row r="620" spans="2:8" s="212" customFormat="1" ht="15" customHeight="1">
      <c r="B620" s="244" t="s">
        <v>1875</v>
      </c>
      <c r="C620" s="244"/>
      <c r="D620" s="245" t="s">
        <v>1876</v>
      </c>
      <c r="E620" s="245"/>
      <c r="F620" s="245"/>
      <c r="G620" s="245"/>
      <c r="H620" s="279" t="s">
        <v>1155</v>
      </c>
    </row>
    <row r="621" spans="2:8" s="212" customFormat="1" ht="15" customHeight="1">
      <c r="B621" s="250" t="s">
        <v>1877</v>
      </c>
      <c r="C621" s="250"/>
      <c r="D621" s="268" t="s">
        <v>1878</v>
      </c>
      <c r="E621" s="268"/>
      <c r="F621" s="268"/>
      <c r="G621" s="268"/>
      <c r="H621" s="271" t="s">
        <v>1155</v>
      </c>
    </row>
    <row r="622" spans="2:8" ht="51.75" customHeight="1">
      <c r="B622" s="251" t="s">
        <v>2672</v>
      </c>
      <c r="C622" s="251" t="s">
        <v>1879</v>
      </c>
      <c r="D622" s="3" t="s">
        <v>1880</v>
      </c>
      <c r="E622" s="4" t="s">
        <v>15</v>
      </c>
      <c r="F622" s="5">
        <v>365</v>
      </c>
      <c r="G622" s="105">
        <v>56.96</v>
      </c>
      <c r="H622" s="8">
        <f t="shared" ref="H622:H623" si="12">F622*G622</f>
        <v>20790.400000000001</v>
      </c>
    </row>
    <row r="623" spans="2:8" ht="51.75" customHeight="1">
      <c r="B623" s="251" t="s">
        <v>2673</v>
      </c>
      <c r="C623" s="251" t="s">
        <v>1881</v>
      </c>
      <c r="D623" s="3" t="s">
        <v>1882</v>
      </c>
      <c r="E623" s="4" t="s">
        <v>15</v>
      </c>
      <c r="F623" s="5">
        <v>365</v>
      </c>
      <c r="G623" s="105">
        <v>87.59</v>
      </c>
      <c r="H623" s="8">
        <f t="shared" si="12"/>
        <v>31970.350000000002</v>
      </c>
    </row>
    <row r="624" spans="2:8" s="212" customFormat="1" ht="15" customHeight="1">
      <c r="B624" s="251"/>
      <c r="C624" s="217"/>
      <c r="D624" s="274" t="s">
        <v>1883</v>
      </c>
      <c r="E624" s="275"/>
      <c r="F624" s="276"/>
      <c r="G624" s="276"/>
      <c r="H624" s="277">
        <f>SUM(H621:H623)</f>
        <v>52760.75</v>
      </c>
    </row>
    <row r="625" spans="2:8" s="212" customFormat="1" ht="15" customHeight="1">
      <c r="B625" s="244" t="s">
        <v>1035</v>
      </c>
      <c r="C625" s="244"/>
      <c r="D625" s="245" t="s">
        <v>1036</v>
      </c>
      <c r="E625" s="245"/>
      <c r="F625" s="245"/>
      <c r="G625" s="245"/>
      <c r="H625" s="279" t="s">
        <v>1155</v>
      </c>
    </row>
    <row r="626" spans="2:8" ht="25.5" customHeight="1">
      <c r="B626" s="251" t="s">
        <v>2674</v>
      </c>
      <c r="C626" s="251" t="s">
        <v>2151</v>
      </c>
      <c r="D626" s="214" t="s">
        <v>1037</v>
      </c>
      <c r="E626" s="4" t="s">
        <v>663</v>
      </c>
      <c r="F626" s="5" t="s">
        <v>38</v>
      </c>
      <c r="G626" s="105">
        <f>CPU!H1493</f>
        <v>7242.3518699999995</v>
      </c>
      <c r="H626" s="8">
        <f t="shared" si="11"/>
        <v>7242.3518699999995</v>
      </c>
    </row>
    <row r="627" spans="2:8" ht="25.5" customHeight="1">
      <c r="B627" s="251" t="s">
        <v>2675</v>
      </c>
      <c r="C627" s="251" t="s">
        <v>2153</v>
      </c>
      <c r="D627" s="214" t="s">
        <v>1038</v>
      </c>
      <c r="E627" s="4" t="s">
        <v>15</v>
      </c>
      <c r="F627" s="5">
        <v>208</v>
      </c>
      <c r="G627" s="105">
        <f>CPU!H1500</f>
        <v>96.171199999999999</v>
      </c>
      <c r="H627" s="8">
        <f t="shared" si="11"/>
        <v>20003.6096</v>
      </c>
    </row>
    <row r="628" spans="2:8" ht="25.5" customHeight="1">
      <c r="B628" s="251" t="s">
        <v>2676</v>
      </c>
      <c r="C628" s="251" t="s">
        <v>2154</v>
      </c>
      <c r="D628" s="216" t="s">
        <v>1884</v>
      </c>
      <c r="E628" s="102" t="s">
        <v>37</v>
      </c>
      <c r="F628" s="105">
        <v>10</v>
      </c>
      <c r="G628" s="105">
        <f>CPU!H1509</f>
        <v>349.06949700000001</v>
      </c>
      <c r="H628" s="8">
        <f t="shared" si="11"/>
        <v>3490.69497</v>
      </c>
    </row>
    <row r="629" spans="2:8" s="212" customFormat="1" ht="15" customHeight="1">
      <c r="B629" s="389"/>
      <c r="C629" s="217"/>
      <c r="D629" s="274" t="s">
        <v>1194</v>
      </c>
      <c r="E629" s="275"/>
      <c r="F629" s="276"/>
      <c r="G629" s="276"/>
      <c r="H629" s="277">
        <f>SUM(H626:H628)</f>
        <v>30736.656439999999</v>
      </c>
    </row>
    <row r="630" spans="2:8" s="212" customFormat="1" ht="20.100000000000001" customHeight="1">
      <c r="B630" s="253"/>
      <c r="C630" s="259"/>
      <c r="D630" s="260" t="s">
        <v>2800</v>
      </c>
      <c r="E630" s="261"/>
      <c r="F630" s="262"/>
      <c r="G630" s="262"/>
      <c r="H630" s="263">
        <f>H624+H629</f>
        <v>83497.406439999992</v>
      </c>
    </row>
    <row r="631" spans="2:8" s="212" customFormat="1" ht="20.100000000000001" customHeight="1">
      <c r="B631" s="257" t="s">
        <v>1039</v>
      </c>
      <c r="C631" s="257"/>
      <c r="D631" s="286" t="s">
        <v>1040</v>
      </c>
      <c r="E631" s="286"/>
      <c r="F631" s="286"/>
      <c r="G631" s="286"/>
      <c r="H631" s="287" t="s">
        <v>1155</v>
      </c>
    </row>
    <row r="632" spans="2:8" s="212" customFormat="1" ht="15" customHeight="1">
      <c r="B632" s="244" t="s">
        <v>1041</v>
      </c>
      <c r="C632" s="244"/>
      <c r="D632" s="245" t="s">
        <v>1042</v>
      </c>
      <c r="E632" s="245"/>
      <c r="F632" s="245"/>
      <c r="G632" s="245"/>
      <c r="H632" s="279" t="s">
        <v>1155</v>
      </c>
    </row>
    <row r="633" spans="2:8" s="212" customFormat="1" ht="15" customHeight="1">
      <c r="B633" s="250" t="s">
        <v>1043</v>
      </c>
      <c r="C633" s="250"/>
      <c r="D633" s="268" t="s">
        <v>1044</v>
      </c>
      <c r="E633" s="268"/>
      <c r="F633" s="268"/>
      <c r="G633" s="268"/>
      <c r="H633" s="271" t="s">
        <v>1155</v>
      </c>
    </row>
    <row r="634" spans="2:8" ht="25.5">
      <c r="B634" s="446" t="s">
        <v>2677</v>
      </c>
      <c r="C634" s="446" t="s">
        <v>2155</v>
      </c>
      <c r="D634" s="447" t="s">
        <v>1045</v>
      </c>
      <c r="E634" s="106" t="s">
        <v>15</v>
      </c>
      <c r="F634" s="5" t="s">
        <v>646</v>
      </c>
      <c r="G634" s="105">
        <f>CPU!H1516</f>
        <v>388.28187204071997</v>
      </c>
      <c r="H634" s="8">
        <f t="shared" si="11"/>
        <v>133568.96398200767</v>
      </c>
    </row>
    <row r="635" spans="2:8" ht="25.5">
      <c r="B635" s="446" t="s">
        <v>2678</v>
      </c>
      <c r="C635" s="446" t="s">
        <v>2156</v>
      </c>
      <c r="D635" s="447" t="s">
        <v>1046</v>
      </c>
      <c r="E635" s="106" t="s">
        <v>15</v>
      </c>
      <c r="F635" s="5" t="s">
        <v>311</v>
      </c>
      <c r="G635" s="105">
        <f>CPU!H1523</f>
        <v>590.07520235648008</v>
      </c>
      <c r="H635" s="8">
        <f t="shared" ref="H635:H697" si="13">F635*G635</f>
        <v>14161.804856555522</v>
      </c>
    </row>
    <row r="636" spans="2:8" ht="25.5">
      <c r="B636" s="446" t="s">
        <v>2679</v>
      </c>
      <c r="C636" s="446" t="s">
        <v>2157</v>
      </c>
      <c r="D636" s="215" t="s">
        <v>1047</v>
      </c>
      <c r="E636" s="106" t="s">
        <v>37</v>
      </c>
      <c r="F636" s="5" t="s">
        <v>1048</v>
      </c>
      <c r="G636" s="105">
        <f>CPU!H1529</f>
        <v>304.80133616999996</v>
      </c>
      <c r="H636" s="8">
        <f t="shared" si="13"/>
        <v>29260.928272319994</v>
      </c>
    </row>
    <row r="637" spans="2:8" ht="25.5">
      <c r="B637" s="251" t="s">
        <v>2680</v>
      </c>
      <c r="C637" s="251" t="s">
        <v>2158</v>
      </c>
      <c r="D637" s="214" t="s">
        <v>1049</v>
      </c>
      <c r="E637" s="4" t="s">
        <v>37</v>
      </c>
      <c r="F637" s="5" t="s">
        <v>358</v>
      </c>
      <c r="G637" s="105">
        <f>CPU!H1535</f>
        <v>515.96419143499998</v>
      </c>
      <c r="H637" s="8">
        <f t="shared" si="13"/>
        <v>1547.8925743049999</v>
      </c>
    </row>
    <row r="638" spans="2:8" ht="25.5">
      <c r="B638" s="251" t="s">
        <v>2681</v>
      </c>
      <c r="C638" s="251">
        <v>101934</v>
      </c>
      <c r="D638" s="3" t="s">
        <v>1050</v>
      </c>
      <c r="E638" s="4" t="s">
        <v>37</v>
      </c>
      <c r="F638" s="5" t="s">
        <v>25</v>
      </c>
      <c r="G638" s="105">
        <v>282.07</v>
      </c>
      <c r="H638" s="8">
        <f t="shared" si="13"/>
        <v>7615.8899999999994</v>
      </c>
    </row>
    <row r="639" spans="2:8" ht="25.5">
      <c r="B639" s="251" t="s">
        <v>2682</v>
      </c>
      <c r="C639" s="251" t="s">
        <v>2209</v>
      </c>
      <c r="D639" s="3" t="s">
        <v>1051</v>
      </c>
      <c r="E639" s="4" t="s">
        <v>37</v>
      </c>
      <c r="F639" s="5" t="s">
        <v>49</v>
      </c>
      <c r="G639" s="105">
        <f>CPU!H1543</f>
        <v>878.76855499999999</v>
      </c>
      <c r="H639" s="8">
        <f t="shared" si="13"/>
        <v>3515.07422</v>
      </c>
    </row>
    <row r="640" spans="2:8" ht="38.25">
      <c r="B640" s="251" t="s">
        <v>2683</v>
      </c>
      <c r="C640" s="251" t="s">
        <v>2200</v>
      </c>
      <c r="D640" s="3" t="s">
        <v>699</v>
      </c>
      <c r="E640" s="4" t="s">
        <v>24</v>
      </c>
      <c r="F640" s="5" t="s">
        <v>1052</v>
      </c>
      <c r="G640" s="105">
        <f>CPU!H993</f>
        <v>21.350875880640004</v>
      </c>
      <c r="H640" s="8">
        <f t="shared" si="13"/>
        <v>6853.6311576854414</v>
      </c>
    </row>
    <row r="641" spans="2:8" ht="51">
      <c r="B641" s="251" t="s">
        <v>2684</v>
      </c>
      <c r="C641" s="251" t="s">
        <v>1053</v>
      </c>
      <c r="D641" s="3" t="s">
        <v>1054</v>
      </c>
      <c r="E641" s="4" t="s">
        <v>37</v>
      </c>
      <c r="F641" s="5" t="s">
        <v>1055</v>
      </c>
      <c r="G641" s="105">
        <v>46.31</v>
      </c>
      <c r="H641" s="8">
        <f t="shared" si="13"/>
        <v>27600.760000000002</v>
      </c>
    </row>
    <row r="642" spans="2:8" ht="51" customHeight="1">
      <c r="B642" s="251" t="s">
        <v>2685</v>
      </c>
      <c r="C642" s="251" t="s">
        <v>2234</v>
      </c>
      <c r="D642" s="3" t="s">
        <v>1056</v>
      </c>
      <c r="E642" s="4" t="s">
        <v>15</v>
      </c>
      <c r="F642" s="5" t="s">
        <v>1057</v>
      </c>
      <c r="G642" s="105">
        <v>59.31</v>
      </c>
      <c r="H642" s="8">
        <f t="shared" si="13"/>
        <v>68206.5</v>
      </c>
    </row>
    <row r="643" spans="2:8" ht="51.75" customHeight="1">
      <c r="B643" s="251" t="s">
        <v>2686</v>
      </c>
      <c r="C643" s="251" t="s">
        <v>1058</v>
      </c>
      <c r="D643" s="3" t="s">
        <v>1059</v>
      </c>
      <c r="E643" s="4" t="s">
        <v>15</v>
      </c>
      <c r="F643" s="5" t="s">
        <v>289</v>
      </c>
      <c r="G643" s="105">
        <v>72.489999999999995</v>
      </c>
      <c r="H643" s="8">
        <f t="shared" si="13"/>
        <v>1594.78</v>
      </c>
    </row>
    <row r="644" spans="2:8" ht="50.25" customHeight="1">
      <c r="B644" s="251" t="s">
        <v>2687</v>
      </c>
      <c r="C644" s="251" t="s">
        <v>1060</v>
      </c>
      <c r="D644" s="3" t="s">
        <v>1061</v>
      </c>
      <c r="E644" s="4" t="s">
        <v>15</v>
      </c>
      <c r="F644" s="5" t="s">
        <v>1014</v>
      </c>
      <c r="G644" s="105">
        <v>83.01</v>
      </c>
      <c r="H644" s="8">
        <f t="shared" si="13"/>
        <v>11621.400000000001</v>
      </c>
    </row>
    <row r="645" spans="2:8" ht="52.5" customHeight="1">
      <c r="B645" s="251" t="s">
        <v>2688</v>
      </c>
      <c r="C645" s="251" t="s">
        <v>1062</v>
      </c>
      <c r="D645" s="3" t="s">
        <v>1063</v>
      </c>
      <c r="E645" s="4" t="s">
        <v>15</v>
      </c>
      <c r="F645" s="5" t="s">
        <v>1064</v>
      </c>
      <c r="G645" s="105">
        <v>115</v>
      </c>
      <c r="H645" s="8">
        <f t="shared" si="13"/>
        <v>19895</v>
      </c>
    </row>
    <row r="646" spans="2:8" ht="51.75" customHeight="1">
      <c r="B646" s="251" t="s">
        <v>2689</v>
      </c>
      <c r="C646" s="251" t="s">
        <v>1065</v>
      </c>
      <c r="D646" s="3" t="s">
        <v>1066</v>
      </c>
      <c r="E646" s="4" t="s">
        <v>15</v>
      </c>
      <c r="F646" s="5" t="s">
        <v>1067</v>
      </c>
      <c r="G646" s="105">
        <v>140.82</v>
      </c>
      <c r="H646" s="8">
        <f t="shared" si="13"/>
        <v>33796.799999999996</v>
      </c>
    </row>
    <row r="647" spans="2:8" ht="51" customHeight="1">
      <c r="B647" s="251" t="s">
        <v>2690</v>
      </c>
      <c r="C647" s="251" t="s">
        <v>1068</v>
      </c>
      <c r="D647" s="3" t="s">
        <v>1069</v>
      </c>
      <c r="E647" s="4" t="s">
        <v>15</v>
      </c>
      <c r="F647" s="5" t="s">
        <v>1070</v>
      </c>
      <c r="G647" s="105">
        <v>185.65</v>
      </c>
      <c r="H647" s="8">
        <f t="shared" si="13"/>
        <v>10767.7</v>
      </c>
    </row>
    <row r="648" spans="2:8" ht="39" customHeight="1">
      <c r="B648" s="251" t="s">
        <v>2691</v>
      </c>
      <c r="C648" s="251" t="s">
        <v>1071</v>
      </c>
      <c r="D648" s="3" t="s">
        <v>1072</v>
      </c>
      <c r="E648" s="4" t="s">
        <v>37</v>
      </c>
      <c r="F648" s="5" t="s">
        <v>1073</v>
      </c>
      <c r="G648" s="105">
        <v>46.06</v>
      </c>
      <c r="H648" s="8">
        <f t="shared" si="13"/>
        <v>7876.26</v>
      </c>
    </row>
    <row r="649" spans="2:8" ht="42" customHeight="1">
      <c r="B649" s="251" t="s">
        <v>2692</v>
      </c>
      <c r="C649" s="251" t="s">
        <v>1074</v>
      </c>
      <c r="D649" s="3" t="s">
        <v>1075</v>
      </c>
      <c r="E649" s="4" t="s">
        <v>37</v>
      </c>
      <c r="F649" s="5" t="s">
        <v>703</v>
      </c>
      <c r="G649" s="105">
        <v>148.83000000000001</v>
      </c>
      <c r="H649" s="8">
        <f t="shared" si="13"/>
        <v>9227.4600000000009</v>
      </c>
    </row>
    <row r="650" spans="2:8" ht="63.75">
      <c r="B650" s="251" t="s">
        <v>2693</v>
      </c>
      <c r="C650" s="251" t="s">
        <v>1076</v>
      </c>
      <c r="D650" s="3" t="s">
        <v>1077</v>
      </c>
      <c r="E650" s="4" t="s">
        <v>37</v>
      </c>
      <c r="F650" s="5" t="s">
        <v>1078</v>
      </c>
      <c r="G650" s="105">
        <v>104.73</v>
      </c>
      <c r="H650" s="8">
        <f t="shared" si="13"/>
        <v>4189.2</v>
      </c>
    </row>
    <row r="651" spans="2:8" s="212" customFormat="1" ht="15" customHeight="1">
      <c r="B651" s="250" t="s">
        <v>1079</v>
      </c>
      <c r="C651" s="250"/>
      <c r="D651" s="268" t="s">
        <v>512</v>
      </c>
      <c r="E651" s="268"/>
      <c r="F651" s="268"/>
      <c r="G651" s="268"/>
      <c r="H651" s="271" t="s">
        <v>1155</v>
      </c>
    </row>
    <row r="652" spans="2:8" s="212" customFormat="1" ht="15" customHeight="1">
      <c r="B652" s="250" t="s">
        <v>1080</v>
      </c>
      <c r="C652" s="250"/>
      <c r="D652" s="268" t="s">
        <v>1081</v>
      </c>
      <c r="E652" s="268"/>
      <c r="F652" s="268"/>
      <c r="G652" s="268"/>
      <c r="H652" s="271" t="s">
        <v>1155</v>
      </c>
    </row>
    <row r="653" spans="2:8" ht="15" customHeight="1">
      <c r="B653" s="251" t="s">
        <v>2694</v>
      </c>
      <c r="C653" s="251">
        <v>99626</v>
      </c>
      <c r="D653" s="3" t="s">
        <v>1082</v>
      </c>
      <c r="E653" s="4" t="s">
        <v>37</v>
      </c>
      <c r="F653" s="5" t="s">
        <v>593</v>
      </c>
      <c r="G653" s="105">
        <v>948.1</v>
      </c>
      <c r="H653" s="8">
        <f t="shared" si="13"/>
        <v>6636.7</v>
      </c>
    </row>
    <row r="654" spans="2:8" ht="25.5">
      <c r="B654" s="251" t="s">
        <v>2695</v>
      </c>
      <c r="C654" s="251" t="s">
        <v>2162</v>
      </c>
      <c r="D654" s="214" t="s">
        <v>1083</v>
      </c>
      <c r="E654" s="4" t="s">
        <v>37</v>
      </c>
      <c r="F654" s="5" t="s">
        <v>38</v>
      </c>
      <c r="G654" s="105">
        <f>CPU!H1550</f>
        <v>1144.9419354057602</v>
      </c>
      <c r="H654" s="8">
        <f t="shared" si="13"/>
        <v>1144.9419354057602</v>
      </c>
    </row>
    <row r="655" spans="2:8" s="212" customFormat="1" ht="15" customHeight="1">
      <c r="B655" s="250" t="s">
        <v>1084</v>
      </c>
      <c r="C655" s="250"/>
      <c r="D655" s="268" t="s">
        <v>1085</v>
      </c>
      <c r="E655" s="268"/>
      <c r="F655" s="268"/>
      <c r="G655" s="268"/>
      <c r="H655" s="271" t="s">
        <v>1155</v>
      </c>
    </row>
    <row r="656" spans="2:8" ht="25.5">
      <c r="B656" s="251" t="s">
        <v>2696</v>
      </c>
      <c r="C656" s="251" t="s">
        <v>2235</v>
      </c>
      <c r="D656" s="3" t="s">
        <v>1086</v>
      </c>
      <c r="E656" s="4" t="s">
        <v>37</v>
      </c>
      <c r="F656" s="5" t="s">
        <v>367</v>
      </c>
      <c r="G656" s="105">
        <v>3151.87</v>
      </c>
      <c r="H656" s="8">
        <f t="shared" si="13"/>
        <v>6303.74</v>
      </c>
    </row>
    <row r="657" spans="2:8" s="212" customFormat="1" ht="15" customHeight="1">
      <c r="B657" s="250" t="s">
        <v>1087</v>
      </c>
      <c r="C657" s="250"/>
      <c r="D657" s="268" t="s">
        <v>1088</v>
      </c>
      <c r="E657" s="268"/>
      <c r="F657" s="268"/>
      <c r="G657" s="268"/>
      <c r="H657" s="271" t="s">
        <v>1155</v>
      </c>
    </row>
    <row r="658" spans="2:8" ht="63.75">
      <c r="B658" s="251" t="s">
        <v>2697</v>
      </c>
      <c r="C658" s="251" t="s">
        <v>1089</v>
      </c>
      <c r="D658" s="3" t="s">
        <v>1090</v>
      </c>
      <c r="E658" s="4" t="s">
        <v>37</v>
      </c>
      <c r="F658" s="5" t="s">
        <v>614</v>
      </c>
      <c r="G658" s="105">
        <v>1245.21</v>
      </c>
      <c r="H658" s="8">
        <f t="shared" si="13"/>
        <v>26149.41</v>
      </c>
    </row>
    <row r="659" spans="2:8" s="212" customFormat="1" ht="15" customHeight="1">
      <c r="B659" s="250" t="s">
        <v>1091</v>
      </c>
      <c r="C659" s="250"/>
      <c r="D659" s="268" t="s">
        <v>1092</v>
      </c>
      <c r="E659" s="268"/>
      <c r="F659" s="268"/>
      <c r="G659" s="268"/>
      <c r="H659" s="271" t="s">
        <v>1155</v>
      </c>
    </row>
    <row r="660" spans="2:8" ht="25.5">
      <c r="B660" s="251" t="s">
        <v>2698</v>
      </c>
      <c r="C660" s="251" t="s">
        <v>2236</v>
      </c>
      <c r="D660" s="3" t="s">
        <v>1093</v>
      </c>
      <c r="E660" s="4" t="s">
        <v>37</v>
      </c>
      <c r="F660" s="5" t="s">
        <v>905</v>
      </c>
      <c r="G660" s="105">
        <v>211.14</v>
      </c>
      <c r="H660" s="8">
        <f t="shared" si="13"/>
        <v>6123.0599999999995</v>
      </c>
    </row>
    <row r="661" spans="2:8" s="212" customFormat="1" ht="15" customHeight="1">
      <c r="B661" s="250" t="s">
        <v>1094</v>
      </c>
      <c r="C661" s="250"/>
      <c r="D661" s="268" t="s">
        <v>1095</v>
      </c>
      <c r="E661" s="268"/>
      <c r="F661" s="268"/>
      <c r="G661" s="268"/>
      <c r="H661" s="269"/>
    </row>
    <row r="662" spans="2:8" ht="25.5">
      <c r="B662" s="251" t="s">
        <v>2699</v>
      </c>
      <c r="C662" s="251" t="s">
        <v>2163</v>
      </c>
      <c r="D662" s="214" t="s">
        <v>1096</v>
      </c>
      <c r="E662" s="4" t="s">
        <v>37</v>
      </c>
      <c r="F662" s="5" t="s">
        <v>38</v>
      </c>
      <c r="G662" s="105">
        <f>CPU!H1566</f>
        <v>17576.341499999999</v>
      </c>
      <c r="H662" s="8">
        <f t="shared" si="13"/>
        <v>17576.341499999999</v>
      </c>
    </row>
    <row r="663" spans="2:8" ht="25.5" customHeight="1">
      <c r="B663" s="251" t="s">
        <v>2700</v>
      </c>
      <c r="C663" s="251" t="s">
        <v>2164</v>
      </c>
      <c r="D663" s="214" t="s">
        <v>1097</v>
      </c>
      <c r="E663" s="4" t="s">
        <v>37</v>
      </c>
      <c r="F663" s="5" t="s">
        <v>38</v>
      </c>
      <c r="G663" s="105">
        <f>CPU!H1582</f>
        <v>19805.960000000003</v>
      </c>
      <c r="H663" s="8">
        <f t="shared" si="13"/>
        <v>19805.960000000003</v>
      </c>
    </row>
    <row r="664" spans="2:8" ht="25.5">
      <c r="B664" s="251" t="s">
        <v>2701</v>
      </c>
      <c r="C664" s="251" t="s">
        <v>2165</v>
      </c>
      <c r="D664" s="214" t="s">
        <v>1098</v>
      </c>
      <c r="E664" s="4" t="s">
        <v>37</v>
      </c>
      <c r="F664" s="5" t="s">
        <v>38</v>
      </c>
      <c r="G664" s="105">
        <f>CPU!H1598</f>
        <v>3253.9519999999998</v>
      </c>
      <c r="H664" s="8">
        <f t="shared" si="13"/>
        <v>3253.9519999999998</v>
      </c>
    </row>
    <row r="665" spans="2:8" ht="15" customHeight="1">
      <c r="B665" s="251" t="s">
        <v>2702</v>
      </c>
      <c r="C665" s="251" t="s">
        <v>2842</v>
      </c>
      <c r="D665" s="3" t="s">
        <v>1099</v>
      </c>
      <c r="E665" s="4" t="s">
        <v>37</v>
      </c>
      <c r="F665" s="5" t="s">
        <v>358</v>
      </c>
      <c r="G665" s="284">
        <v>171.67</v>
      </c>
      <c r="H665" s="8">
        <f t="shared" si="13"/>
        <v>515.01</v>
      </c>
    </row>
    <row r="666" spans="2:8" ht="15" customHeight="1">
      <c r="B666" s="251" t="s">
        <v>2703</v>
      </c>
      <c r="C666" s="251" t="s">
        <v>2843</v>
      </c>
      <c r="D666" s="3" t="s">
        <v>1100</v>
      </c>
      <c r="E666" s="4" t="s">
        <v>37</v>
      </c>
      <c r="F666" s="5" t="s">
        <v>38</v>
      </c>
      <c r="G666" s="284">
        <v>1392.04</v>
      </c>
      <c r="H666" s="8">
        <f t="shared" si="13"/>
        <v>1392.04</v>
      </c>
    </row>
    <row r="667" spans="2:8" ht="25.5">
      <c r="B667" s="251" t="s">
        <v>2704</v>
      </c>
      <c r="C667" s="251" t="s">
        <v>2166</v>
      </c>
      <c r="D667" s="214" t="s">
        <v>1101</v>
      </c>
      <c r="E667" s="4" t="s">
        <v>37</v>
      </c>
      <c r="F667" s="5" t="s">
        <v>367</v>
      </c>
      <c r="G667" s="105">
        <f>CPU!H1604</f>
        <v>3383.901621</v>
      </c>
      <c r="H667" s="8">
        <f t="shared" si="13"/>
        <v>6767.803242</v>
      </c>
    </row>
    <row r="668" spans="2:8" ht="25.5">
      <c r="B668" s="251" t="s">
        <v>2705</v>
      </c>
      <c r="C668" s="251" t="s">
        <v>2237</v>
      </c>
      <c r="D668" s="3" t="s">
        <v>1102</v>
      </c>
      <c r="E668" s="4" t="s">
        <v>37</v>
      </c>
      <c r="F668" s="5" t="s">
        <v>583</v>
      </c>
      <c r="G668" s="105">
        <v>127.3</v>
      </c>
      <c r="H668" s="8">
        <f t="shared" si="13"/>
        <v>763.8</v>
      </c>
    </row>
    <row r="669" spans="2:8" s="212" customFormat="1" ht="15" customHeight="1">
      <c r="B669" s="250" t="s">
        <v>1103</v>
      </c>
      <c r="C669" s="250"/>
      <c r="D669" s="268" t="s">
        <v>1104</v>
      </c>
      <c r="E669" s="268"/>
      <c r="F669" s="268"/>
      <c r="G669" s="268"/>
      <c r="H669" s="271" t="s">
        <v>1155</v>
      </c>
    </row>
    <row r="670" spans="2:8" ht="25.5">
      <c r="B670" s="251" t="s">
        <v>2706</v>
      </c>
      <c r="C670" s="251" t="s">
        <v>1105</v>
      </c>
      <c r="D670" s="3" t="s">
        <v>1106</v>
      </c>
      <c r="E670" s="4" t="s">
        <v>37</v>
      </c>
      <c r="F670" s="5" t="s">
        <v>1107</v>
      </c>
      <c r="G670" s="105">
        <v>36.840000000000003</v>
      </c>
      <c r="H670" s="8">
        <f t="shared" si="13"/>
        <v>20372.52</v>
      </c>
    </row>
    <row r="671" spans="2:8" s="212" customFormat="1" ht="20.100000000000001" customHeight="1">
      <c r="B671" s="253"/>
      <c r="C671" s="259"/>
      <c r="D671" s="260" t="s">
        <v>1195</v>
      </c>
      <c r="E671" s="261"/>
      <c r="F671" s="262"/>
      <c r="G671" s="262"/>
      <c r="H671" s="263">
        <f>SUM(H634:H670)</f>
        <v>508105.32374027948</v>
      </c>
    </row>
    <row r="672" spans="2:8" s="212" customFormat="1" ht="20.100000000000001" customHeight="1">
      <c r="B672" s="257" t="s">
        <v>1108</v>
      </c>
      <c r="C672" s="257"/>
      <c r="D672" s="286" t="s">
        <v>1109</v>
      </c>
      <c r="E672" s="286"/>
      <c r="F672" s="286"/>
      <c r="G672" s="286"/>
      <c r="H672" s="287" t="s">
        <v>1155</v>
      </c>
    </row>
    <row r="673" spans="2:8" s="212" customFormat="1" ht="15" customHeight="1">
      <c r="B673" s="244" t="s">
        <v>2707</v>
      </c>
      <c r="C673" s="244"/>
      <c r="D673" s="245" t="s">
        <v>1110</v>
      </c>
      <c r="E673" s="245"/>
      <c r="F673" s="245"/>
      <c r="G673" s="245"/>
      <c r="H673" s="279" t="s">
        <v>1155</v>
      </c>
    </row>
    <row r="674" spans="2:8" ht="25.5">
      <c r="B674" s="251" t="s">
        <v>2708</v>
      </c>
      <c r="C674" s="251" t="s">
        <v>2167</v>
      </c>
      <c r="D674" s="214" t="s">
        <v>1111</v>
      </c>
      <c r="E674" s="4" t="s">
        <v>1112</v>
      </c>
      <c r="F674" s="5">
        <v>12</v>
      </c>
      <c r="G674" s="105">
        <f>CPU!H1608</f>
        <v>3116</v>
      </c>
      <c r="H674" s="8">
        <f t="shared" si="13"/>
        <v>37392</v>
      </c>
    </row>
    <row r="675" spans="2:8" ht="25.5" customHeight="1">
      <c r="B675" s="251" t="s">
        <v>2709</v>
      </c>
      <c r="C675" s="251" t="s">
        <v>2210</v>
      </c>
      <c r="D675" s="214" t="s">
        <v>1113</v>
      </c>
      <c r="E675" s="4" t="s">
        <v>1112</v>
      </c>
      <c r="F675" s="5">
        <v>12</v>
      </c>
      <c r="G675" s="105">
        <f>CPU!H1612</f>
        <v>2262</v>
      </c>
      <c r="H675" s="8">
        <f t="shared" si="13"/>
        <v>27144</v>
      </c>
    </row>
    <row r="676" spans="2:8" s="212" customFormat="1" ht="15" customHeight="1">
      <c r="B676" s="244" t="s">
        <v>1114</v>
      </c>
      <c r="C676" s="244"/>
      <c r="D676" s="245" t="s">
        <v>1115</v>
      </c>
      <c r="E676" s="245"/>
      <c r="F676" s="245"/>
      <c r="G676" s="245"/>
      <c r="H676" s="279" t="s">
        <v>1155</v>
      </c>
    </row>
    <row r="677" spans="2:8" ht="15" customHeight="1">
      <c r="B677" s="251" t="s">
        <v>2710</v>
      </c>
      <c r="C677" s="251" t="s">
        <v>2211</v>
      </c>
      <c r="D677" s="3" t="s">
        <v>1116</v>
      </c>
      <c r="E677" s="4" t="s">
        <v>24</v>
      </c>
      <c r="F677" s="5">
        <v>7433.53</v>
      </c>
      <c r="G677" s="105">
        <v>2.04</v>
      </c>
      <c r="H677" s="8">
        <f t="shared" si="13"/>
        <v>15164.4012</v>
      </c>
    </row>
    <row r="678" spans="2:8" s="212" customFormat="1" ht="15" customHeight="1">
      <c r="B678" s="244" t="s">
        <v>1117</v>
      </c>
      <c r="C678" s="244"/>
      <c r="D678" s="245" t="s">
        <v>1118</v>
      </c>
      <c r="E678" s="245"/>
      <c r="F678" s="245"/>
      <c r="G678" s="245"/>
      <c r="H678" s="279" t="s">
        <v>1155</v>
      </c>
    </row>
    <row r="679" spans="2:8" ht="25.5">
      <c r="B679" s="251" t="s">
        <v>2711</v>
      </c>
      <c r="C679" s="278" t="s">
        <v>2171</v>
      </c>
      <c r="D679" s="214" t="s">
        <v>55</v>
      </c>
      <c r="E679" s="4" t="s">
        <v>37</v>
      </c>
      <c r="F679" s="5" t="s">
        <v>38</v>
      </c>
      <c r="G679" s="105">
        <f>CPU!H1621</f>
        <v>358.24348901127996</v>
      </c>
      <c r="H679" s="8">
        <f t="shared" si="13"/>
        <v>358.24348901127996</v>
      </c>
    </row>
    <row r="680" spans="2:8" s="212" customFormat="1" ht="15" customHeight="1">
      <c r="B680" s="244" t="s">
        <v>2712</v>
      </c>
      <c r="C680" s="244"/>
      <c r="D680" s="245" t="s">
        <v>1119</v>
      </c>
      <c r="E680" s="245"/>
      <c r="F680" s="245"/>
      <c r="G680" s="245"/>
      <c r="H680" s="279" t="s">
        <v>1155</v>
      </c>
    </row>
    <row r="681" spans="2:8" ht="15" customHeight="1">
      <c r="B681" s="251" t="s">
        <v>2713</v>
      </c>
      <c r="C681" s="278" t="s">
        <v>1120</v>
      </c>
      <c r="D681" s="3" t="s">
        <v>1121</v>
      </c>
      <c r="E681" s="4" t="s">
        <v>24</v>
      </c>
      <c r="F681" s="5" t="s">
        <v>1122</v>
      </c>
      <c r="G681" s="105">
        <f>6.7*1.2217</f>
        <v>8.1853899999999999</v>
      </c>
      <c r="H681" s="8">
        <f t="shared" si="13"/>
        <v>4911.2340000000004</v>
      </c>
    </row>
    <row r="682" spans="2:8" s="212" customFormat="1" ht="20.100000000000001" customHeight="1">
      <c r="B682" s="253"/>
      <c r="C682" s="259"/>
      <c r="D682" s="260" t="s">
        <v>1196</v>
      </c>
      <c r="E682" s="261"/>
      <c r="F682" s="262"/>
      <c r="G682" s="262"/>
      <c r="H682" s="263">
        <f>SUM(H674:H681)</f>
        <v>84969.878689011268</v>
      </c>
    </row>
    <row r="683" spans="2:8" s="212" customFormat="1" ht="20.100000000000001" customHeight="1">
      <c r="B683" s="257" t="s">
        <v>1123</v>
      </c>
      <c r="C683" s="257"/>
      <c r="D683" s="286" t="s">
        <v>1124</v>
      </c>
      <c r="E683" s="286"/>
      <c r="F683" s="286"/>
      <c r="G683" s="286"/>
      <c r="H683" s="287" t="s">
        <v>1155</v>
      </c>
    </row>
    <row r="684" spans="2:8" s="212" customFormat="1" ht="15" customHeight="1">
      <c r="B684" s="244" t="s">
        <v>1125</v>
      </c>
      <c r="C684" s="244"/>
      <c r="D684" s="245" t="s">
        <v>1126</v>
      </c>
      <c r="E684" s="245"/>
      <c r="F684" s="245"/>
      <c r="G684" s="245"/>
      <c r="H684" s="279" t="s">
        <v>1155</v>
      </c>
    </row>
    <row r="685" spans="2:8" ht="25.5">
      <c r="B685" s="251" t="s">
        <v>2714</v>
      </c>
      <c r="C685" s="251" t="s">
        <v>1127</v>
      </c>
      <c r="D685" s="3" t="s">
        <v>1128</v>
      </c>
      <c r="E685" s="4" t="s">
        <v>1129</v>
      </c>
      <c r="F685" s="5">
        <v>619</v>
      </c>
      <c r="G685" s="105">
        <v>41.02</v>
      </c>
      <c r="H685" s="8">
        <f t="shared" si="13"/>
        <v>25391.38</v>
      </c>
    </row>
    <row r="686" spans="2:8" ht="25.5">
      <c r="B686" s="251" t="s">
        <v>2715</v>
      </c>
      <c r="C686" s="251" t="s">
        <v>1130</v>
      </c>
      <c r="D686" s="3" t="s">
        <v>1131</v>
      </c>
      <c r="E686" s="4" t="s">
        <v>1112</v>
      </c>
      <c r="F686" s="5">
        <v>12</v>
      </c>
      <c r="G686" s="105">
        <v>3949.49</v>
      </c>
      <c r="H686" s="8">
        <f t="shared" si="13"/>
        <v>47393.88</v>
      </c>
    </row>
    <row r="687" spans="2:8" ht="25.5">
      <c r="B687" s="251" t="s">
        <v>2716</v>
      </c>
      <c r="C687" s="251" t="s">
        <v>1132</v>
      </c>
      <c r="D687" s="3" t="s">
        <v>1133</v>
      </c>
      <c r="E687" s="4" t="s">
        <v>1129</v>
      </c>
      <c r="F687" s="5">
        <v>2640</v>
      </c>
      <c r="G687" s="105">
        <v>36.86</v>
      </c>
      <c r="H687" s="8">
        <f t="shared" si="13"/>
        <v>97310.399999999994</v>
      </c>
    </row>
    <row r="688" spans="2:8" ht="15" customHeight="1">
      <c r="B688" s="251" t="s">
        <v>2717</v>
      </c>
      <c r="C688" s="251" t="s">
        <v>1134</v>
      </c>
      <c r="D688" s="3" t="s">
        <v>1135</v>
      </c>
      <c r="E688" s="4" t="s">
        <v>1129</v>
      </c>
      <c r="F688" s="5">
        <v>2640</v>
      </c>
      <c r="G688" s="105">
        <v>28.35</v>
      </c>
      <c r="H688" s="8">
        <f t="shared" si="13"/>
        <v>74844</v>
      </c>
    </row>
    <row r="689" spans="2:8" ht="25.5">
      <c r="B689" s="251" t="s">
        <v>2718</v>
      </c>
      <c r="C689" s="251" t="s">
        <v>1136</v>
      </c>
      <c r="D689" s="3" t="s">
        <v>1137</v>
      </c>
      <c r="E689" s="4" t="s">
        <v>1129</v>
      </c>
      <c r="F689" s="5">
        <v>2640</v>
      </c>
      <c r="G689" s="105">
        <v>34.159999999999997</v>
      </c>
      <c r="H689" s="8">
        <f t="shared" si="13"/>
        <v>90182.399999999994</v>
      </c>
    </row>
    <row r="690" spans="2:8" ht="25.5">
      <c r="B690" s="251" t="s">
        <v>2719</v>
      </c>
      <c r="C690" s="251" t="s">
        <v>1138</v>
      </c>
      <c r="D690" s="3" t="s">
        <v>1139</v>
      </c>
      <c r="E690" s="4" t="s">
        <v>1129</v>
      </c>
      <c r="F690" s="5">
        <v>344</v>
      </c>
      <c r="G690" s="105">
        <v>142.13999999999999</v>
      </c>
      <c r="H690" s="8">
        <f t="shared" si="13"/>
        <v>48896.159999999996</v>
      </c>
    </row>
    <row r="691" spans="2:8" ht="15" customHeight="1">
      <c r="B691" s="251" t="s">
        <v>2720</v>
      </c>
      <c r="C691" s="251" t="s">
        <v>1140</v>
      </c>
      <c r="D691" s="3" t="s">
        <v>1141</v>
      </c>
      <c r="E691" s="4" t="s">
        <v>1129</v>
      </c>
      <c r="F691" s="5">
        <v>2640</v>
      </c>
      <c r="G691" s="105">
        <v>29.61</v>
      </c>
      <c r="H691" s="8">
        <f t="shared" si="13"/>
        <v>78170.399999999994</v>
      </c>
    </row>
    <row r="692" spans="2:8" ht="25.5">
      <c r="B692" s="251" t="s">
        <v>2721</v>
      </c>
      <c r="C692" s="251" t="s">
        <v>1142</v>
      </c>
      <c r="D692" s="3" t="s">
        <v>1143</v>
      </c>
      <c r="E692" s="4" t="s">
        <v>1129</v>
      </c>
      <c r="F692" s="5">
        <v>1320</v>
      </c>
      <c r="G692" s="105">
        <v>109.22</v>
      </c>
      <c r="H692" s="8">
        <f t="shared" si="13"/>
        <v>144170.4</v>
      </c>
    </row>
    <row r="693" spans="2:8" ht="25.5">
      <c r="B693" s="251" t="s">
        <v>2722</v>
      </c>
      <c r="C693" s="251" t="s">
        <v>1144</v>
      </c>
      <c r="D693" s="3" t="s">
        <v>1145</v>
      </c>
      <c r="E693" s="4" t="s">
        <v>1112</v>
      </c>
      <c r="F693" s="5">
        <v>12</v>
      </c>
      <c r="G693" s="105">
        <v>4288.74</v>
      </c>
      <c r="H693" s="8">
        <f t="shared" si="13"/>
        <v>51464.88</v>
      </c>
    </row>
    <row r="694" spans="2:8" ht="25.5">
      <c r="B694" s="251" t="s">
        <v>2723</v>
      </c>
      <c r="C694" s="251" t="s">
        <v>1146</v>
      </c>
      <c r="D694" s="3" t="s">
        <v>1147</v>
      </c>
      <c r="E694" s="4" t="s">
        <v>1112</v>
      </c>
      <c r="F694" s="5">
        <v>12</v>
      </c>
      <c r="G694" s="105">
        <v>18549.21</v>
      </c>
      <c r="H694" s="8">
        <f t="shared" si="13"/>
        <v>222590.52</v>
      </c>
    </row>
    <row r="695" spans="2:8" ht="25.5">
      <c r="B695" s="251" t="s">
        <v>2724</v>
      </c>
      <c r="C695" s="251" t="s">
        <v>1148</v>
      </c>
      <c r="D695" s="3" t="s">
        <v>1149</v>
      </c>
      <c r="E695" s="4" t="s">
        <v>1112</v>
      </c>
      <c r="F695" s="5">
        <v>12</v>
      </c>
      <c r="G695" s="105">
        <v>3606.88</v>
      </c>
      <c r="H695" s="8">
        <f t="shared" si="13"/>
        <v>43282.559999999998</v>
      </c>
    </row>
    <row r="696" spans="2:8" s="212" customFormat="1" ht="15" customHeight="1">
      <c r="B696" s="244" t="s">
        <v>1150</v>
      </c>
      <c r="C696" s="244"/>
      <c r="D696" s="245" t="s">
        <v>1151</v>
      </c>
      <c r="E696" s="245"/>
      <c r="F696" s="245"/>
      <c r="G696" s="245"/>
      <c r="H696" s="279" t="s">
        <v>1155</v>
      </c>
    </row>
    <row r="697" spans="2:8" ht="25.5">
      <c r="B697" s="251" t="s">
        <v>2725</v>
      </c>
      <c r="C697" s="251" t="s">
        <v>2212</v>
      </c>
      <c r="D697" s="3" t="s">
        <v>1152</v>
      </c>
      <c r="E697" s="4" t="s">
        <v>1153</v>
      </c>
      <c r="F697" s="5" t="s">
        <v>1154</v>
      </c>
      <c r="G697" s="105">
        <f>CPU!H1625</f>
        <v>0.76850999999999992</v>
      </c>
      <c r="H697" s="8">
        <f t="shared" si="13"/>
        <v>11619.8712</v>
      </c>
    </row>
    <row r="698" spans="2:8" s="212" customFormat="1" ht="20.100000000000001" customHeight="1">
      <c r="B698" s="399"/>
      <c r="C698" s="390"/>
      <c r="D698" s="391" t="s">
        <v>2808</v>
      </c>
      <c r="E698" s="390"/>
      <c r="F698" s="392"/>
      <c r="G698" s="392"/>
      <c r="H698" s="393">
        <f>SUM(H685:H697)</f>
        <v>935316.85120000003</v>
      </c>
    </row>
    <row r="699" spans="2:8" ht="20.100000000000001" customHeight="1">
      <c r="B699" s="400"/>
      <c r="C699" s="394" t="s">
        <v>1155</v>
      </c>
      <c r="D699" s="489" t="s">
        <v>1158</v>
      </c>
      <c r="E699" s="489"/>
      <c r="F699" s="489"/>
      <c r="G699" s="489"/>
      <c r="H699" s="395">
        <f>SUM(H698+H682+H671+H629+H624+H617+H586+H554+H549+H530+H469+H434+H411+H389+H347+H342+H324+H318+H313+H304+H295+H281+H278+H267+H263+H255+H249+H243+H235+H229+H190+H173+H168+H92+H74+H52+H22)</f>
        <v>21262656.096208408</v>
      </c>
    </row>
    <row r="700" spans="2:8" ht="20.100000000000001" customHeight="1">
      <c r="B700" s="400"/>
      <c r="C700" s="394"/>
      <c r="D700" s="490" t="s">
        <v>2750</v>
      </c>
      <c r="E700" s="490"/>
      <c r="F700" s="490"/>
      <c r="G700" s="490"/>
      <c r="H700" s="396">
        <f>H699*0.2026</f>
        <v>4307814.1250918237</v>
      </c>
    </row>
    <row r="701" spans="2:8" ht="20.100000000000001" customHeight="1">
      <c r="B701" s="401"/>
      <c r="C701" s="397"/>
      <c r="D701" s="491" t="s">
        <v>1160</v>
      </c>
      <c r="E701" s="491"/>
      <c r="F701" s="491"/>
      <c r="G701" s="491"/>
      <c r="H701" s="398">
        <f>SUM(H699:H700)</f>
        <v>25570470.221300233</v>
      </c>
    </row>
    <row r="702" spans="2:8">
      <c r="C702" s="9" t="s">
        <v>1161</v>
      </c>
      <c r="D702" s="10"/>
      <c r="E702" s="10"/>
      <c r="F702" s="11"/>
      <c r="G702" s="11"/>
      <c r="H702" s="12"/>
    </row>
    <row r="703" spans="2:8">
      <c r="C703" s="13"/>
      <c r="H703" s="14"/>
    </row>
    <row r="704" spans="2:8" ht="18" customHeight="1">
      <c r="C704" s="13"/>
      <c r="D704" s="475" t="s">
        <v>1162</v>
      </c>
      <c r="E704" s="476"/>
      <c r="F704" s="476"/>
      <c r="G704" s="476"/>
      <c r="H704" s="14"/>
    </row>
    <row r="705" spans="3:8" ht="30" customHeight="1">
      <c r="C705" s="13"/>
      <c r="D705" s="477" t="s">
        <v>1891</v>
      </c>
      <c r="E705" s="478"/>
      <c r="F705" s="478"/>
      <c r="G705" s="478"/>
      <c r="H705" s="479"/>
    </row>
    <row r="706" spans="3:8" ht="15">
      <c r="C706" s="15"/>
      <c r="D706" s="473" t="s">
        <v>1155</v>
      </c>
      <c r="E706" s="474"/>
      <c r="F706" s="474"/>
      <c r="G706" s="474"/>
      <c r="H706" s="16"/>
    </row>
  </sheetData>
  <mergeCells count="23">
    <mergeCell ref="B16:H16"/>
    <mergeCell ref="B10:D10"/>
    <mergeCell ref="B11:H11"/>
    <mergeCell ref="B12:D12"/>
    <mergeCell ref="G12:H12"/>
    <mergeCell ref="B13:H13"/>
    <mergeCell ref="B14:H14"/>
    <mergeCell ref="D706:G706"/>
    <mergeCell ref="D704:G704"/>
    <mergeCell ref="D705:H705"/>
    <mergeCell ref="D4:E4"/>
    <mergeCell ref="F4:G4"/>
    <mergeCell ref="D5:E5"/>
    <mergeCell ref="D6:E6"/>
    <mergeCell ref="F6:G6"/>
    <mergeCell ref="F7:G7"/>
    <mergeCell ref="B8:H8"/>
    <mergeCell ref="B9:H9"/>
    <mergeCell ref="B17:H17"/>
    <mergeCell ref="D699:G699"/>
    <mergeCell ref="D700:G700"/>
    <mergeCell ref="D701:G701"/>
    <mergeCell ref="B15:H15"/>
  </mergeCells>
  <phoneticPr fontId="37" type="noConversion"/>
  <printOptions horizontalCentered="1"/>
  <pageMargins left="0.43307086614173229" right="0.39370078740157483" top="1.1417322834645669" bottom="0.55118110236220474" header="0" footer="0.55118110236220474"/>
  <pageSetup paperSize="9" scale="90" orientation="landscape" r:id="rId1"/>
  <headerFooter>
    <oddFooter>&amp;R&amp;"Verdana,Negrito itálico"&amp;10Página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6F0F9-4DCF-4764-B0D9-AA5344583533}">
  <sheetPr>
    <tabColor theme="5" tint="0.39997558519241921"/>
    <pageSetUpPr fitToPage="1"/>
  </sheetPr>
  <dimension ref="B1:K58"/>
  <sheetViews>
    <sheetView workbookViewId="0">
      <selection activeCell="B2" sqref="B2"/>
    </sheetView>
  </sheetViews>
  <sheetFormatPr defaultRowHeight="15"/>
  <cols>
    <col min="1" max="1" width="2.7109375" style="413" customWidth="1"/>
    <col min="2" max="2" width="15.7109375" style="413" customWidth="1"/>
    <col min="3" max="3" width="20.7109375" style="413" customWidth="1"/>
    <col min="4" max="4" width="56.28515625" style="413" customWidth="1"/>
    <col min="5" max="5" width="10.7109375" style="413" customWidth="1"/>
    <col min="6" max="6" width="13.7109375" style="413" customWidth="1"/>
    <col min="7" max="7" width="12.7109375" style="413" customWidth="1"/>
    <col min="8" max="8" width="20.7109375" style="413" customWidth="1"/>
    <col min="9" max="16384" width="9.140625" style="413"/>
  </cols>
  <sheetData>
    <row r="1" spans="2:11" s="1" customFormat="1" ht="15" customHeight="1">
      <c r="B1" s="412"/>
      <c r="C1" s="412"/>
      <c r="F1" s="2"/>
      <c r="G1" s="2"/>
      <c r="H1" s="2"/>
    </row>
    <row r="2" spans="2:11" s="212" customFormat="1" ht="15" customHeight="1">
      <c r="B2" s="330"/>
      <c r="C2" s="331"/>
      <c r="D2" s="332"/>
      <c r="E2" s="333"/>
      <c r="F2" s="332"/>
      <c r="G2" s="332"/>
      <c r="H2" s="334"/>
    </row>
    <row r="3" spans="2:11" s="212" customFormat="1" ht="15" customHeight="1">
      <c r="B3" s="335"/>
      <c r="C3" s="414"/>
      <c r="D3" s="337"/>
      <c r="E3" s="338"/>
      <c r="F3" s="337"/>
      <c r="G3" s="337"/>
      <c r="H3" s="339"/>
    </row>
    <row r="4" spans="2:11" s="212" customFormat="1" ht="15" customHeight="1">
      <c r="B4" s="335"/>
      <c r="C4" s="414"/>
      <c r="D4" s="497" t="s">
        <v>2238</v>
      </c>
      <c r="E4" s="497"/>
      <c r="F4" s="481" t="s">
        <v>2239</v>
      </c>
      <c r="G4" s="481"/>
      <c r="H4" s="234">
        <v>0.2026</v>
      </c>
    </row>
    <row r="5" spans="2:11" s="212" customFormat="1" ht="15" customHeight="1">
      <c r="B5" s="415"/>
      <c r="C5" s="340"/>
      <c r="D5" s="498" t="s">
        <v>2240</v>
      </c>
      <c r="E5" s="498"/>
      <c r="F5" s="340"/>
      <c r="G5" s="340"/>
      <c r="H5" s="341"/>
    </row>
    <row r="6" spans="2:11" s="212" customFormat="1" ht="15" customHeight="1">
      <c r="B6" s="415"/>
      <c r="C6" s="340"/>
      <c r="D6" s="498" t="s">
        <v>2241</v>
      </c>
      <c r="E6" s="498"/>
      <c r="F6" s="499"/>
      <c r="G6" s="499"/>
      <c r="H6" s="341"/>
    </row>
    <row r="7" spans="2:11" s="212" customFormat="1" ht="15" customHeight="1">
      <c r="B7" s="335"/>
      <c r="C7" s="414"/>
      <c r="D7" s="337"/>
      <c r="E7" s="338"/>
      <c r="F7" s="497"/>
      <c r="G7" s="497"/>
      <c r="H7" s="339"/>
    </row>
    <row r="8" spans="2:11" s="212" customFormat="1" ht="15" customHeight="1">
      <c r="B8" s="503" t="s">
        <v>2249</v>
      </c>
      <c r="C8" s="498"/>
      <c r="D8" s="498"/>
      <c r="E8" s="498"/>
      <c r="F8" s="498"/>
      <c r="G8" s="498"/>
      <c r="H8" s="504"/>
    </row>
    <row r="9" spans="2:11" s="212" customFormat="1" ht="15" customHeight="1">
      <c r="B9" s="505"/>
      <c r="C9" s="506"/>
      <c r="D9" s="506"/>
      <c r="E9" s="506"/>
      <c r="F9" s="506"/>
      <c r="G9" s="506"/>
      <c r="H9" s="507"/>
    </row>
    <row r="10" spans="2:11" s="212" customFormat="1" ht="15" customHeight="1">
      <c r="B10" s="508" t="s">
        <v>2242</v>
      </c>
      <c r="C10" s="509"/>
      <c r="D10" s="509"/>
      <c r="E10" s="338"/>
      <c r="F10" s="337"/>
      <c r="G10" s="337"/>
      <c r="H10" s="339" t="s">
        <v>2849</v>
      </c>
      <c r="J10" s="510"/>
      <c r="K10" s="510"/>
    </row>
    <row r="11" spans="2:11" s="212" customFormat="1" ht="15" customHeight="1">
      <c r="B11" s="505"/>
      <c r="C11" s="506"/>
      <c r="D11" s="506"/>
      <c r="E11" s="506"/>
      <c r="F11" s="506"/>
      <c r="G11" s="506"/>
      <c r="H11" s="507"/>
    </row>
    <row r="12" spans="2:11" s="212" customFormat="1" ht="15" customHeight="1">
      <c r="B12" s="508" t="s">
        <v>2243</v>
      </c>
      <c r="C12" s="509"/>
      <c r="D12" s="509"/>
      <c r="E12" s="345"/>
      <c r="F12" s="345"/>
      <c r="G12" s="501" t="s">
        <v>2244</v>
      </c>
      <c r="H12" s="502"/>
    </row>
    <row r="13" spans="2:11" s="212" customFormat="1" ht="15" customHeight="1">
      <c r="B13" s="505"/>
      <c r="C13" s="506"/>
      <c r="D13" s="506"/>
      <c r="E13" s="506"/>
      <c r="F13" s="506"/>
      <c r="G13" s="506"/>
      <c r="H13" s="507"/>
    </row>
    <row r="14" spans="2:11" s="212" customFormat="1" ht="15" customHeight="1">
      <c r="B14" s="500" t="s">
        <v>2831</v>
      </c>
      <c r="C14" s="501"/>
      <c r="D14" s="501"/>
      <c r="E14" s="501"/>
      <c r="F14" s="501"/>
      <c r="G14" s="501"/>
      <c r="H14" s="502"/>
      <c r="J14" s="496"/>
      <c r="K14" s="496"/>
    </row>
    <row r="15" spans="2:11" s="212" customFormat="1" ht="15" customHeight="1">
      <c r="B15" s="500" t="s">
        <v>2832</v>
      </c>
      <c r="C15" s="501"/>
      <c r="D15" s="501"/>
      <c r="E15" s="501"/>
      <c r="F15" s="501"/>
      <c r="G15" s="501"/>
      <c r="H15" s="502"/>
    </row>
    <row r="16" spans="2:11" s="212" customFormat="1" ht="15" customHeight="1">
      <c r="B16" s="500" t="s">
        <v>2833</v>
      </c>
      <c r="C16" s="501"/>
      <c r="D16" s="501"/>
      <c r="E16" s="501"/>
      <c r="F16" s="501"/>
      <c r="G16" s="501"/>
      <c r="H16" s="502"/>
    </row>
    <row r="17" spans="2:8" s="212" customFormat="1" ht="20.100000000000001" customHeight="1">
      <c r="B17" s="481" t="s">
        <v>2245</v>
      </c>
      <c r="C17" s="481"/>
      <c r="D17" s="481"/>
      <c r="E17" s="481"/>
      <c r="F17" s="481"/>
      <c r="G17" s="481"/>
      <c r="H17" s="481"/>
    </row>
    <row r="18" spans="2:8" s="212" customFormat="1" ht="24.95" customHeight="1">
      <c r="B18" s="238" t="s">
        <v>2246</v>
      </c>
      <c r="C18" s="238" t="s">
        <v>1</v>
      </c>
      <c r="D18" s="238" t="s">
        <v>2</v>
      </c>
      <c r="E18" s="238" t="s">
        <v>2247</v>
      </c>
      <c r="F18" s="239" t="s">
        <v>5</v>
      </c>
      <c r="G18" s="239" t="s">
        <v>2248</v>
      </c>
      <c r="H18" s="240" t="s">
        <v>6</v>
      </c>
    </row>
    <row r="19" spans="2:8" s="1" customFormat="1" ht="20.100000000000001" customHeight="1">
      <c r="B19" s="241" t="s">
        <v>7</v>
      </c>
      <c r="C19" s="241"/>
      <c r="D19" s="242" t="s">
        <v>8</v>
      </c>
      <c r="E19" s="242"/>
      <c r="F19" s="242"/>
      <c r="G19" s="242"/>
      <c r="H19" s="243"/>
    </row>
    <row r="20" spans="2:8" s="212" customFormat="1" ht="15" customHeight="1">
      <c r="B20" s="244" t="s">
        <v>9</v>
      </c>
      <c r="C20" s="244"/>
      <c r="D20" s="245" t="s">
        <v>10</v>
      </c>
      <c r="E20" s="245"/>
      <c r="F20" s="245"/>
      <c r="G20" s="245"/>
      <c r="H20" s="246"/>
    </row>
    <row r="21" spans="2:8" s="1" customFormat="1" ht="25.5">
      <c r="B21" s="270"/>
      <c r="C21" s="251" t="s">
        <v>1940</v>
      </c>
      <c r="D21" s="214" t="s">
        <v>11</v>
      </c>
      <c r="E21" s="4" t="s">
        <v>13</v>
      </c>
      <c r="F21" s="5" t="s">
        <v>14</v>
      </c>
      <c r="G21" s="105">
        <f>CPU!H24</f>
        <v>474.96000000000004</v>
      </c>
      <c r="H21" s="8">
        <f>F21*G21</f>
        <v>4749.6000000000004</v>
      </c>
    </row>
    <row r="22" spans="2:8" s="212" customFormat="1" ht="20.100000000000001" customHeight="1">
      <c r="B22" s="247"/>
      <c r="C22" s="259"/>
      <c r="D22" s="260" t="s">
        <v>1156</v>
      </c>
      <c r="E22" s="261"/>
      <c r="F22" s="262"/>
      <c r="G22" s="262"/>
      <c r="H22" s="263">
        <f>SUM(H21:H21)</f>
        <v>4749.6000000000004</v>
      </c>
    </row>
    <row r="23" spans="2:8" s="212" customFormat="1" ht="20.100000000000001" customHeight="1">
      <c r="B23" s="248" t="s">
        <v>16</v>
      </c>
      <c r="C23" s="248"/>
      <c r="D23" s="264" t="s">
        <v>17</v>
      </c>
      <c r="E23" s="264"/>
      <c r="F23" s="264"/>
      <c r="G23" s="264"/>
      <c r="H23" s="265"/>
    </row>
    <row r="24" spans="2:8" s="212" customFormat="1" ht="15" customHeight="1">
      <c r="B24" s="250" t="s">
        <v>68</v>
      </c>
      <c r="C24" s="250"/>
      <c r="D24" s="268" t="s">
        <v>69</v>
      </c>
      <c r="E24" s="268"/>
      <c r="F24" s="268"/>
      <c r="G24" s="268"/>
      <c r="H24" s="271"/>
    </row>
    <row r="25" spans="2:8" s="1" customFormat="1" ht="15" customHeight="1">
      <c r="B25" s="251" t="s">
        <v>2266</v>
      </c>
      <c r="C25" s="251">
        <v>97914</v>
      </c>
      <c r="D25" s="3" t="s">
        <v>70</v>
      </c>
      <c r="E25" s="4" t="s">
        <v>71</v>
      </c>
      <c r="F25" s="5" t="s">
        <v>72</v>
      </c>
      <c r="G25" s="105">
        <v>2.36</v>
      </c>
      <c r="H25" s="8">
        <f t="shared" ref="H25:H29" si="0">F25*G25</f>
        <v>259156.31999999998</v>
      </c>
    </row>
    <row r="26" spans="2:8" s="1" customFormat="1" ht="38.25">
      <c r="B26" s="251" t="s">
        <v>2267</v>
      </c>
      <c r="C26" s="251" t="s">
        <v>2176</v>
      </c>
      <c r="D26" s="3" t="s">
        <v>74</v>
      </c>
      <c r="E26" s="4" t="s">
        <v>75</v>
      </c>
      <c r="F26" s="5" t="s">
        <v>76</v>
      </c>
      <c r="G26" s="105">
        <v>6.08</v>
      </c>
      <c r="H26" s="8">
        <f t="shared" si="0"/>
        <v>55638.080000000002</v>
      </c>
    </row>
    <row r="27" spans="2:8" s="1" customFormat="1" ht="25.5">
      <c r="B27" s="251" t="s">
        <v>2269</v>
      </c>
      <c r="C27" s="251" t="s">
        <v>2175</v>
      </c>
      <c r="D27" s="214" t="s">
        <v>79</v>
      </c>
      <c r="E27" s="4" t="s">
        <v>75</v>
      </c>
      <c r="F27" s="5" t="s">
        <v>80</v>
      </c>
      <c r="G27" s="105">
        <f>CPU!H84</f>
        <v>6.6828320000000003</v>
      </c>
      <c r="H27" s="8">
        <f t="shared" si="0"/>
        <v>13833.462240000001</v>
      </c>
    </row>
    <row r="28" spans="2:8" s="1" customFormat="1" ht="75.75" customHeight="1">
      <c r="B28" s="251" t="s">
        <v>2270</v>
      </c>
      <c r="C28" s="251" t="s">
        <v>81</v>
      </c>
      <c r="D28" s="3" t="s">
        <v>82</v>
      </c>
      <c r="E28" s="4" t="s">
        <v>75</v>
      </c>
      <c r="F28" s="5" t="s">
        <v>83</v>
      </c>
      <c r="G28" s="105">
        <v>8.9499999999999993</v>
      </c>
      <c r="H28" s="8">
        <f t="shared" si="0"/>
        <v>8099.7499999999991</v>
      </c>
    </row>
    <row r="29" spans="2:8" s="1" customFormat="1" ht="25.5">
      <c r="B29" s="251" t="s">
        <v>2271</v>
      </c>
      <c r="C29" s="251" t="s">
        <v>84</v>
      </c>
      <c r="D29" s="3" t="s">
        <v>85</v>
      </c>
      <c r="E29" s="4" t="s">
        <v>75</v>
      </c>
      <c r="F29" s="5" t="s">
        <v>86</v>
      </c>
      <c r="G29" s="105">
        <v>26.93</v>
      </c>
      <c r="H29" s="8">
        <f t="shared" si="0"/>
        <v>2773.79</v>
      </c>
    </row>
    <row r="30" spans="2:8" s="212" customFormat="1" ht="20.100000000000001" customHeight="1">
      <c r="B30" s="253"/>
      <c r="C30" s="259"/>
      <c r="D30" s="260" t="s">
        <v>1157</v>
      </c>
      <c r="E30" s="261"/>
      <c r="F30" s="262"/>
      <c r="G30" s="262"/>
      <c r="H30" s="263">
        <f>SUM(H25:H29)</f>
        <v>339501.40223999997</v>
      </c>
    </row>
    <row r="31" spans="2:8" s="212" customFormat="1" ht="20.100000000000001" customHeight="1">
      <c r="B31" s="248" t="s">
        <v>87</v>
      </c>
      <c r="C31" s="248"/>
      <c r="D31" s="264" t="s">
        <v>88</v>
      </c>
      <c r="E31" s="264"/>
      <c r="F31" s="264"/>
      <c r="G31" s="264"/>
      <c r="H31" s="272"/>
    </row>
    <row r="32" spans="2:8" s="212" customFormat="1" ht="15" customHeight="1">
      <c r="B32" s="250" t="s">
        <v>95</v>
      </c>
      <c r="C32" s="250"/>
      <c r="D32" s="268" t="s">
        <v>96</v>
      </c>
      <c r="E32" s="268"/>
      <c r="F32" s="268"/>
      <c r="G32" s="268"/>
      <c r="H32" s="271"/>
    </row>
    <row r="33" spans="2:8" s="1" customFormat="1" ht="38.25">
      <c r="B33" s="251" t="s">
        <v>2272</v>
      </c>
      <c r="C33" s="251" t="s">
        <v>1956</v>
      </c>
      <c r="D33" s="3" t="s">
        <v>97</v>
      </c>
      <c r="E33" s="4" t="s">
        <v>37</v>
      </c>
      <c r="F33" s="5" t="s">
        <v>38</v>
      </c>
      <c r="G33" s="105">
        <f>CPU!H88</f>
        <v>31050.432000000001</v>
      </c>
      <c r="H33" s="8">
        <f t="shared" ref="H33:H34" si="1">F33*G33</f>
        <v>31050.432000000001</v>
      </c>
    </row>
    <row r="34" spans="2:8" s="1" customFormat="1" ht="51">
      <c r="B34" s="251" t="s">
        <v>2174</v>
      </c>
      <c r="C34" s="251" t="s">
        <v>1957</v>
      </c>
      <c r="D34" s="3" t="s">
        <v>98</v>
      </c>
      <c r="E34" s="4" t="s">
        <v>75</v>
      </c>
      <c r="F34" s="5" t="s">
        <v>99</v>
      </c>
      <c r="G34" s="105">
        <f>CPU!H94</f>
        <v>1.93608</v>
      </c>
      <c r="H34" s="8">
        <f t="shared" si="1"/>
        <v>1837.3399200000001</v>
      </c>
    </row>
    <row r="35" spans="2:8" s="212" customFormat="1" ht="15" customHeight="1">
      <c r="B35" s="250" t="s">
        <v>126</v>
      </c>
      <c r="C35" s="250"/>
      <c r="D35" s="268" t="s">
        <v>127</v>
      </c>
      <c r="E35" s="268"/>
      <c r="F35" s="268"/>
      <c r="G35" s="268"/>
      <c r="H35" s="271"/>
    </row>
    <row r="36" spans="2:8" s="1" customFormat="1" ht="51">
      <c r="B36" s="251" t="s">
        <v>2282</v>
      </c>
      <c r="C36" s="251" t="s">
        <v>1957</v>
      </c>
      <c r="D36" s="3" t="s">
        <v>98</v>
      </c>
      <c r="E36" s="4" t="s">
        <v>75</v>
      </c>
      <c r="F36" s="5" t="s">
        <v>128</v>
      </c>
      <c r="G36" s="105">
        <f>CPU!H94</f>
        <v>1.93608</v>
      </c>
      <c r="H36" s="8">
        <f t="shared" ref="H36" si="2">F36*G36</f>
        <v>598.24872000000005</v>
      </c>
    </row>
    <row r="37" spans="2:8" s="212" customFormat="1" ht="20.100000000000001" customHeight="1">
      <c r="B37" s="253"/>
      <c r="C37" s="259"/>
      <c r="D37" s="260" t="s">
        <v>2796</v>
      </c>
      <c r="E37" s="261"/>
      <c r="F37" s="262"/>
      <c r="G37" s="262"/>
      <c r="H37" s="263">
        <f>SUM(H33:H36)</f>
        <v>33486.020640000002</v>
      </c>
    </row>
    <row r="38" spans="2:8" s="212" customFormat="1" ht="20.100000000000001" customHeight="1">
      <c r="B38" s="257" t="s">
        <v>1108</v>
      </c>
      <c r="C38" s="257"/>
      <c r="D38" s="286" t="s">
        <v>1109</v>
      </c>
      <c r="E38" s="286"/>
      <c r="F38" s="286"/>
      <c r="G38" s="286"/>
      <c r="H38" s="287" t="s">
        <v>1155</v>
      </c>
    </row>
    <row r="39" spans="2:8" s="212" customFormat="1" ht="15" customHeight="1">
      <c r="B39" s="244" t="s">
        <v>2712</v>
      </c>
      <c r="C39" s="244"/>
      <c r="D39" s="245" t="s">
        <v>1119</v>
      </c>
      <c r="E39" s="245"/>
      <c r="F39" s="245"/>
      <c r="G39" s="245"/>
      <c r="H39" s="279" t="s">
        <v>1155</v>
      </c>
    </row>
    <row r="40" spans="2:8" s="1" customFormat="1" ht="18" customHeight="1">
      <c r="B40" s="251" t="s">
        <v>2713</v>
      </c>
      <c r="C40" s="251" t="s">
        <v>1120</v>
      </c>
      <c r="D40" s="214" t="s">
        <v>1121</v>
      </c>
      <c r="E40" s="4" t="s">
        <v>24</v>
      </c>
      <c r="F40" s="5" t="s">
        <v>1122</v>
      </c>
      <c r="G40" s="105">
        <f>6.7*1.2217</f>
        <v>8.1853899999999999</v>
      </c>
      <c r="H40" s="8">
        <f t="shared" ref="H40" si="3">F40*G40</f>
        <v>4911.2340000000004</v>
      </c>
    </row>
    <row r="41" spans="2:8" s="212" customFormat="1" ht="20.100000000000001" customHeight="1">
      <c r="B41" s="253"/>
      <c r="C41" s="259"/>
      <c r="D41" s="260" t="s">
        <v>1196</v>
      </c>
      <c r="E41" s="261"/>
      <c r="F41" s="262"/>
      <c r="G41" s="262"/>
      <c r="H41" s="263">
        <f>SUM(H40)</f>
        <v>4911.2340000000004</v>
      </c>
    </row>
    <row r="42" spans="2:8" s="212" customFormat="1" ht="20.100000000000001" customHeight="1">
      <c r="B42" s="257" t="s">
        <v>1123</v>
      </c>
      <c r="C42" s="257"/>
      <c r="D42" s="286" t="s">
        <v>1124</v>
      </c>
      <c r="E42" s="286"/>
      <c r="F42" s="286"/>
      <c r="G42" s="286"/>
      <c r="H42" s="287" t="s">
        <v>1155</v>
      </c>
    </row>
    <row r="43" spans="2:8" s="212" customFormat="1" ht="15" customHeight="1">
      <c r="B43" s="244" t="s">
        <v>1125</v>
      </c>
      <c r="C43" s="244"/>
      <c r="D43" s="245" t="s">
        <v>1126</v>
      </c>
      <c r="E43" s="245"/>
      <c r="F43" s="245"/>
      <c r="G43" s="245"/>
      <c r="H43" s="279" t="s">
        <v>1155</v>
      </c>
    </row>
    <row r="44" spans="2:8" s="1" customFormat="1" ht="25.5">
      <c r="B44" s="251" t="s">
        <v>2714</v>
      </c>
      <c r="C44" s="251" t="s">
        <v>1127</v>
      </c>
      <c r="D44" s="3" t="s">
        <v>1128</v>
      </c>
      <c r="E44" s="4" t="s">
        <v>1129</v>
      </c>
      <c r="F44" s="5">
        <v>619</v>
      </c>
      <c r="G44" s="105">
        <v>41.02</v>
      </c>
      <c r="H44" s="8">
        <f t="shared" ref="H44:H54" si="4">F44*G44</f>
        <v>25391.38</v>
      </c>
    </row>
    <row r="45" spans="2:8" s="1" customFormat="1" ht="25.5">
      <c r="B45" s="251" t="s">
        <v>2715</v>
      </c>
      <c r="C45" s="251" t="s">
        <v>1130</v>
      </c>
      <c r="D45" s="3" t="s">
        <v>1131</v>
      </c>
      <c r="E45" s="4" t="s">
        <v>1112</v>
      </c>
      <c r="F45" s="5">
        <v>12</v>
      </c>
      <c r="G45" s="105">
        <v>3949.49</v>
      </c>
      <c r="H45" s="8">
        <f t="shared" si="4"/>
        <v>47393.88</v>
      </c>
    </row>
    <row r="46" spans="2:8" s="1" customFormat="1" ht="25.5">
      <c r="B46" s="251" t="s">
        <v>2716</v>
      </c>
      <c r="C46" s="251" t="s">
        <v>1132</v>
      </c>
      <c r="D46" s="3" t="s">
        <v>1133</v>
      </c>
      <c r="E46" s="4" t="s">
        <v>1129</v>
      </c>
      <c r="F46" s="5">
        <v>2640</v>
      </c>
      <c r="G46" s="105">
        <v>36.86</v>
      </c>
      <c r="H46" s="8">
        <f t="shared" si="4"/>
        <v>97310.399999999994</v>
      </c>
    </row>
    <row r="47" spans="2:8" s="1" customFormat="1" ht="15" customHeight="1">
      <c r="B47" s="251" t="s">
        <v>2717</v>
      </c>
      <c r="C47" s="251" t="s">
        <v>1134</v>
      </c>
      <c r="D47" s="3" t="s">
        <v>1135</v>
      </c>
      <c r="E47" s="4" t="s">
        <v>1129</v>
      </c>
      <c r="F47" s="5">
        <v>2640</v>
      </c>
      <c r="G47" s="105">
        <v>28.35</v>
      </c>
      <c r="H47" s="8">
        <f t="shared" si="4"/>
        <v>74844</v>
      </c>
    </row>
    <row r="48" spans="2:8" s="1" customFormat="1" ht="25.5">
      <c r="B48" s="251" t="s">
        <v>2718</v>
      </c>
      <c r="C48" s="251" t="s">
        <v>1136</v>
      </c>
      <c r="D48" s="3" t="s">
        <v>1137</v>
      </c>
      <c r="E48" s="4" t="s">
        <v>1129</v>
      </c>
      <c r="F48" s="5">
        <v>2640</v>
      </c>
      <c r="G48" s="105">
        <v>34.159999999999997</v>
      </c>
      <c r="H48" s="8">
        <f t="shared" si="4"/>
        <v>90182.399999999994</v>
      </c>
    </row>
    <row r="49" spans="2:8" s="1" customFormat="1" ht="25.5">
      <c r="B49" s="251" t="s">
        <v>2719</v>
      </c>
      <c r="C49" s="251" t="s">
        <v>1138</v>
      </c>
      <c r="D49" s="3" t="s">
        <v>1139</v>
      </c>
      <c r="E49" s="4" t="s">
        <v>1129</v>
      </c>
      <c r="F49" s="5">
        <v>344</v>
      </c>
      <c r="G49" s="105">
        <v>142.13999999999999</v>
      </c>
      <c r="H49" s="8">
        <f t="shared" si="4"/>
        <v>48896.159999999996</v>
      </c>
    </row>
    <row r="50" spans="2:8" s="1" customFormat="1" ht="15" customHeight="1">
      <c r="B50" s="251" t="s">
        <v>2720</v>
      </c>
      <c r="C50" s="251" t="s">
        <v>1140</v>
      </c>
      <c r="D50" s="3" t="s">
        <v>1141</v>
      </c>
      <c r="E50" s="4" t="s">
        <v>1129</v>
      </c>
      <c r="F50" s="5">
        <v>2640</v>
      </c>
      <c r="G50" s="105">
        <v>29.61</v>
      </c>
      <c r="H50" s="8">
        <f t="shared" si="4"/>
        <v>78170.399999999994</v>
      </c>
    </row>
    <row r="51" spans="2:8" s="1" customFormat="1" ht="25.5">
      <c r="B51" s="251" t="s">
        <v>2721</v>
      </c>
      <c r="C51" s="251" t="s">
        <v>1142</v>
      </c>
      <c r="D51" s="3" t="s">
        <v>1143</v>
      </c>
      <c r="E51" s="4" t="s">
        <v>1129</v>
      </c>
      <c r="F51" s="5">
        <v>1320</v>
      </c>
      <c r="G51" s="105">
        <v>109.22</v>
      </c>
      <c r="H51" s="8">
        <f t="shared" si="4"/>
        <v>144170.4</v>
      </c>
    </row>
    <row r="52" spans="2:8" s="1" customFormat="1" ht="25.5">
      <c r="B52" s="251" t="s">
        <v>2722</v>
      </c>
      <c r="C52" s="251" t="s">
        <v>1144</v>
      </c>
      <c r="D52" s="3" t="s">
        <v>1145</v>
      </c>
      <c r="E52" s="4" t="s">
        <v>1112</v>
      </c>
      <c r="F52" s="5">
        <v>12</v>
      </c>
      <c r="G52" s="105">
        <v>4288.74</v>
      </c>
      <c r="H52" s="8">
        <f t="shared" si="4"/>
        <v>51464.88</v>
      </c>
    </row>
    <row r="53" spans="2:8" s="1" customFormat="1" ht="25.5">
      <c r="B53" s="251" t="s">
        <v>2723</v>
      </c>
      <c r="C53" s="251" t="s">
        <v>1146</v>
      </c>
      <c r="D53" s="3" t="s">
        <v>1147</v>
      </c>
      <c r="E53" s="4" t="s">
        <v>1112</v>
      </c>
      <c r="F53" s="5">
        <v>12</v>
      </c>
      <c r="G53" s="105">
        <v>18549.21</v>
      </c>
      <c r="H53" s="8">
        <f t="shared" si="4"/>
        <v>222590.52</v>
      </c>
    </row>
    <row r="54" spans="2:8" s="1" customFormat="1" ht="25.5">
      <c r="B54" s="251" t="s">
        <v>2724</v>
      </c>
      <c r="C54" s="251" t="s">
        <v>1148</v>
      </c>
      <c r="D54" s="3" t="s">
        <v>1149</v>
      </c>
      <c r="E54" s="4" t="s">
        <v>1112</v>
      </c>
      <c r="F54" s="5">
        <v>12</v>
      </c>
      <c r="G54" s="105">
        <v>3606.88</v>
      </c>
      <c r="H54" s="8">
        <f t="shared" si="4"/>
        <v>43282.559999999998</v>
      </c>
    </row>
    <row r="55" spans="2:8" s="212" customFormat="1" ht="20.100000000000001" customHeight="1">
      <c r="B55" s="399"/>
      <c r="C55" s="390"/>
      <c r="D55" s="391" t="s">
        <v>2808</v>
      </c>
      <c r="E55" s="390"/>
      <c r="F55" s="392"/>
      <c r="G55" s="392"/>
      <c r="H55" s="393">
        <f>SUM(H44:H54)</f>
        <v>923696.98</v>
      </c>
    </row>
    <row r="56" spans="2:8" s="1" customFormat="1" ht="20.100000000000001" customHeight="1">
      <c r="B56" s="400"/>
      <c r="C56" s="394" t="s">
        <v>1155</v>
      </c>
      <c r="D56" s="489" t="s">
        <v>1158</v>
      </c>
      <c r="E56" s="489"/>
      <c r="F56" s="489"/>
      <c r="G56" s="489"/>
      <c r="H56" s="395">
        <f>H22+H30+H37+H41+H55</f>
        <v>1306345.23688</v>
      </c>
    </row>
    <row r="57" spans="2:8" s="1" customFormat="1" ht="20.100000000000001" customHeight="1">
      <c r="B57" s="400"/>
      <c r="C57" s="394"/>
      <c r="D57" s="490" t="s">
        <v>2750</v>
      </c>
      <c r="E57" s="490"/>
      <c r="F57" s="490"/>
      <c r="G57" s="490"/>
      <c r="H57" s="396">
        <f>H56*0.2026</f>
        <v>264665.54499188799</v>
      </c>
    </row>
    <row r="58" spans="2:8" s="1" customFormat="1" ht="20.100000000000001" customHeight="1">
      <c r="B58" s="401"/>
      <c r="C58" s="397"/>
      <c r="D58" s="491" t="s">
        <v>1160</v>
      </c>
      <c r="E58" s="491"/>
      <c r="F58" s="491"/>
      <c r="G58" s="491"/>
      <c r="H58" s="398">
        <f>H56+H57</f>
        <v>1571010.7818718879</v>
      </c>
    </row>
  </sheetData>
  <mergeCells count="22">
    <mergeCell ref="D56:G56"/>
    <mergeCell ref="D57:G57"/>
    <mergeCell ref="D58:G58"/>
    <mergeCell ref="B13:H13"/>
    <mergeCell ref="B14:H14"/>
    <mergeCell ref="J14:K14"/>
    <mergeCell ref="B15:H15"/>
    <mergeCell ref="B16:H16"/>
    <mergeCell ref="B17:H17"/>
    <mergeCell ref="B8:H8"/>
    <mergeCell ref="B9:H9"/>
    <mergeCell ref="B10:D10"/>
    <mergeCell ref="J10:K10"/>
    <mergeCell ref="B11:H11"/>
    <mergeCell ref="B12:D12"/>
    <mergeCell ref="G12:H12"/>
    <mergeCell ref="F7:G7"/>
    <mergeCell ref="D4:E4"/>
    <mergeCell ref="F4:G4"/>
    <mergeCell ref="D5:E5"/>
    <mergeCell ref="D6:E6"/>
    <mergeCell ref="F6:G6"/>
  </mergeCells>
  <pageMargins left="0.511811024" right="0.511811024" top="0.78740157499999996" bottom="0.78740157499999996" header="0.31496062000000002" footer="0.31496062000000002"/>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6317D-BF72-40A0-921A-D479690C552C}">
  <sheetPr>
    <tabColor theme="4" tint="0.39997558519241921"/>
    <pageSetUpPr fitToPage="1"/>
  </sheetPr>
  <dimension ref="B1:J675"/>
  <sheetViews>
    <sheetView zoomScaleNormal="100" workbookViewId="0">
      <selection activeCell="B2" sqref="B2"/>
    </sheetView>
  </sheetViews>
  <sheetFormatPr defaultRowHeight="15"/>
  <cols>
    <col min="1" max="1" width="2.7109375" customWidth="1"/>
    <col min="2" max="2" width="15.7109375" customWidth="1"/>
    <col min="3" max="3" width="20.7109375" customWidth="1"/>
    <col min="4" max="4" width="56.28515625" customWidth="1"/>
    <col min="5" max="5" width="10.7109375" customWidth="1"/>
    <col min="6" max="6" width="13.7109375" customWidth="1"/>
    <col min="7" max="7" width="12.7109375" customWidth="1"/>
    <col min="8" max="8" width="20.7109375" customWidth="1"/>
  </cols>
  <sheetData>
    <row r="1" spans="2:10" s="1" customFormat="1" ht="15" customHeight="1">
      <c r="B1" s="412"/>
      <c r="C1" s="412"/>
      <c r="F1" s="2"/>
      <c r="G1" s="2"/>
      <c r="H1" s="2"/>
    </row>
    <row r="2" spans="2:10" s="212" customFormat="1" ht="15" customHeight="1">
      <c r="B2" s="330"/>
      <c r="C2" s="331"/>
      <c r="D2" s="332"/>
      <c r="E2" s="333"/>
      <c r="F2" s="332"/>
      <c r="G2" s="332"/>
      <c r="H2" s="334"/>
    </row>
    <row r="3" spans="2:10" s="212" customFormat="1" ht="15" customHeight="1">
      <c r="B3" s="335"/>
      <c r="C3" s="414"/>
      <c r="D3" s="337"/>
      <c r="E3" s="338"/>
      <c r="F3" s="337"/>
      <c r="G3" s="337"/>
      <c r="H3" s="339"/>
    </row>
    <row r="4" spans="2:10" s="212" customFormat="1" ht="15" customHeight="1">
      <c r="B4" s="335"/>
      <c r="C4" s="414"/>
      <c r="D4" s="497" t="s">
        <v>2238</v>
      </c>
      <c r="E4" s="497"/>
      <c r="F4" s="481" t="s">
        <v>2239</v>
      </c>
      <c r="G4" s="481"/>
      <c r="H4" s="234">
        <v>0.2026</v>
      </c>
    </row>
    <row r="5" spans="2:10" s="212" customFormat="1" ht="15" customHeight="1">
      <c r="B5" s="415"/>
      <c r="C5" s="340"/>
      <c r="D5" s="498" t="s">
        <v>2240</v>
      </c>
      <c r="E5" s="498"/>
      <c r="F5" s="340"/>
      <c r="G5" s="340"/>
      <c r="H5" s="341"/>
    </row>
    <row r="6" spans="2:10" s="212" customFormat="1" ht="15" customHeight="1">
      <c r="B6" s="415"/>
      <c r="C6" s="340"/>
      <c r="D6" s="498" t="s">
        <v>2241</v>
      </c>
      <c r="E6" s="498"/>
      <c r="F6" s="499"/>
      <c r="G6" s="499"/>
      <c r="H6" s="341"/>
    </row>
    <row r="7" spans="2:10" s="212" customFormat="1" ht="15" customHeight="1">
      <c r="B7" s="335"/>
      <c r="C7" s="414"/>
      <c r="D7" s="337"/>
      <c r="E7" s="338"/>
      <c r="F7" s="497"/>
      <c r="G7" s="497"/>
      <c r="H7" s="339"/>
    </row>
    <row r="8" spans="2:10" s="212" customFormat="1" ht="15" customHeight="1">
      <c r="B8" s="503" t="s">
        <v>2249</v>
      </c>
      <c r="C8" s="498"/>
      <c r="D8" s="498"/>
      <c r="E8" s="498"/>
      <c r="F8" s="498"/>
      <c r="G8" s="498"/>
      <c r="H8" s="504"/>
    </row>
    <row r="9" spans="2:10" s="212" customFormat="1" ht="15" customHeight="1">
      <c r="B9" s="505"/>
      <c r="C9" s="506"/>
      <c r="D9" s="506"/>
      <c r="E9" s="506"/>
      <c r="F9" s="506"/>
      <c r="G9" s="506"/>
      <c r="H9" s="507"/>
    </row>
    <row r="10" spans="2:10" s="212" customFormat="1" ht="15" customHeight="1">
      <c r="B10" s="508" t="s">
        <v>2242</v>
      </c>
      <c r="C10" s="509"/>
      <c r="D10" s="509"/>
      <c r="E10" s="338"/>
      <c r="F10" s="337"/>
      <c r="G10" s="337"/>
      <c r="H10" s="339" t="s">
        <v>2849</v>
      </c>
      <c r="I10" s="510"/>
      <c r="J10" s="510"/>
    </row>
    <row r="11" spans="2:10" s="212" customFormat="1" ht="15" customHeight="1">
      <c r="B11" s="505"/>
      <c r="C11" s="506"/>
      <c r="D11" s="506"/>
      <c r="E11" s="506"/>
      <c r="F11" s="506"/>
      <c r="G11" s="506"/>
      <c r="H11" s="507"/>
    </row>
    <row r="12" spans="2:10" s="212" customFormat="1" ht="15" customHeight="1">
      <c r="B12" s="508" t="s">
        <v>2243</v>
      </c>
      <c r="C12" s="509"/>
      <c r="D12" s="509"/>
      <c r="E12" s="345"/>
      <c r="F12" s="345"/>
      <c r="G12" s="501" t="s">
        <v>2244</v>
      </c>
      <c r="H12" s="502"/>
    </row>
    <row r="13" spans="2:10" s="212" customFormat="1" ht="15" customHeight="1">
      <c r="B13" s="505"/>
      <c r="C13" s="506"/>
      <c r="D13" s="506"/>
      <c r="E13" s="506"/>
      <c r="F13" s="506"/>
      <c r="G13" s="506"/>
      <c r="H13" s="507"/>
    </row>
    <row r="14" spans="2:10" s="212" customFormat="1" ht="15" customHeight="1">
      <c r="B14" s="500" t="s">
        <v>2831</v>
      </c>
      <c r="C14" s="501"/>
      <c r="D14" s="501"/>
      <c r="E14" s="501"/>
      <c r="F14" s="501"/>
      <c r="G14" s="501"/>
      <c r="H14" s="502"/>
      <c r="I14" s="496"/>
      <c r="J14" s="496"/>
    </row>
    <row r="15" spans="2:10" s="212" customFormat="1" ht="15" customHeight="1">
      <c r="B15" s="500" t="s">
        <v>2832</v>
      </c>
      <c r="C15" s="501"/>
      <c r="D15" s="501"/>
      <c r="E15" s="501"/>
      <c r="F15" s="501"/>
      <c r="G15" s="501"/>
      <c r="H15" s="502"/>
    </row>
    <row r="16" spans="2:10" s="212" customFormat="1" ht="15" customHeight="1">
      <c r="B16" s="500" t="s">
        <v>2833</v>
      </c>
      <c r="C16" s="501"/>
      <c r="D16" s="501"/>
      <c r="E16" s="501"/>
      <c r="F16" s="501"/>
      <c r="G16" s="501"/>
      <c r="H16" s="502"/>
    </row>
    <row r="17" spans="2:8" s="212" customFormat="1" ht="20.100000000000001" customHeight="1">
      <c r="B17" s="481" t="s">
        <v>2245</v>
      </c>
      <c r="C17" s="481"/>
      <c r="D17" s="481"/>
      <c r="E17" s="481"/>
      <c r="F17" s="481"/>
      <c r="G17" s="481"/>
      <c r="H17" s="481"/>
    </row>
    <row r="18" spans="2:8" s="212" customFormat="1" ht="24.95" customHeight="1">
      <c r="B18" s="238" t="s">
        <v>2246</v>
      </c>
      <c r="C18" s="238" t="s">
        <v>1</v>
      </c>
      <c r="D18" s="238" t="s">
        <v>2</v>
      </c>
      <c r="E18" s="238" t="s">
        <v>2247</v>
      </c>
      <c r="F18" s="239" t="s">
        <v>5</v>
      </c>
      <c r="G18" s="239" t="s">
        <v>2248</v>
      </c>
      <c r="H18" s="240" t="s">
        <v>6</v>
      </c>
    </row>
    <row r="19" spans="2:8" s="212" customFormat="1" ht="20.100000000000001" customHeight="1">
      <c r="B19" s="248" t="s">
        <v>16</v>
      </c>
      <c r="C19" s="248"/>
      <c r="D19" s="264" t="s">
        <v>17</v>
      </c>
      <c r="E19" s="264"/>
      <c r="F19" s="264"/>
      <c r="G19" s="264"/>
      <c r="H19" s="265"/>
    </row>
    <row r="20" spans="2:8" s="212" customFormat="1" ht="15" customHeight="1">
      <c r="B20" s="249" t="s">
        <v>18</v>
      </c>
      <c r="C20" s="249"/>
      <c r="D20" s="266" t="s">
        <v>19</v>
      </c>
      <c r="E20" s="266"/>
      <c r="F20" s="266"/>
      <c r="G20" s="266"/>
      <c r="H20" s="267"/>
    </row>
    <row r="21" spans="2:8" s="212" customFormat="1" ht="15" customHeight="1">
      <c r="B21" s="250" t="s">
        <v>20</v>
      </c>
      <c r="C21" s="250"/>
      <c r="D21" s="268" t="s">
        <v>21</v>
      </c>
      <c r="E21" s="268"/>
      <c r="F21" s="268"/>
      <c r="G21" s="268"/>
      <c r="H21" s="269"/>
    </row>
    <row r="22" spans="2:8" s="1" customFormat="1" ht="38.25">
      <c r="B22" s="251" t="s">
        <v>2250</v>
      </c>
      <c r="C22" s="251" t="s">
        <v>22</v>
      </c>
      <c r="D22" s="3" t="s">
        <v>23</v>
      </c>
      <c r="E22" s="4" t="s">
        <v>24</v>
      </c>
      <c r="F22" s="5" t="s">
        <v>25</v>
      </c>
      <c r="G22" s="105">
        <v>1147.21</v>
      </c>
      <c r="H22" s="8">
        <f t="shared" ref="H22:H42" si="0">F22*G22</f>
        <v>30974.670000000002</v>
      </c>
    </row>
    <row r="23" spans="2:8" s="1" customFormat="1" ht="38.25">
      <c r="B23" s="251" t="s">
        <v>2251</v>
      </c>
      <c r="C23" s="251" t="s">
        <v>26</v>
      </c>
      <c r="D23" s="3" t="s">
        <v>27</v>
      </c>
      <c r="E23" s="4" t="s">
        <v>24</v>
      </c>
      <c r="F23" s="5" t="s">
        <v>28</v>
      </c>
      <c r="G23" s="105">
        <v>940.84</v>
      </c>
      <c r="H23" s="8">
        <f t="shared" si="0"/>
        <v>41396.959999999999</v>
      </c>
    </row>
    <row r="24" spans="2:8" s="1" customFormat="1" ht="38.25">
      <c r="B24" s="251" t="s">
        <v>2252</v>
      </c>
      <c r="C24" s="251" t="s">
        <v>29</v>
      </c>
      <c r="D24" s="3" t="s">
        <v>30</v>
      </c>
      <c r="E24" s="4" t="s">
        <v>24</v>
      </c>
      <c r="F24" s="5" t="s">
        <v>31</v>
      </c>
      <c r="G24" s="105">
        <v>607.76</v>
      </c>
      <c r="H24" s="8">
        <f t="shared" si="0"/>
        <v>17017.28</v>
      </c>
    </row>
    <row r="25" spans="2:8" s="1" customFormat="1" ht="38.25">
      <c r="B25" s="251" t="s">
        <v>2253</v>
      </c>
      <c r="C25" s="251" t="s">
        <v>32</v>
      </c>
      <c r="D25" s="3" t="s">
        <v>33</v>
      </c>
      <c r="E25" s="4" t="s">
        <v>24</v>
      </c>
      <c r="F25" s="5" t="s">
        <v>34</v>
      </c>
      <c r="G25" s="105">
        <v>1009.67</v>
      </c>
      <c r="H25" s="8">
        <f t="shared" si="0"/>
        <v>18174.059999999998</v>
      </c>
    </row>
    <row r="26" spans="2:8" s="1" customFormat="1" ht="38.25">
      <c r="B26" s="251" t="s">
        <v>2254</v>
      </c>
      <c r="C26" s="251" t="s">
        <v>35</v>
      </c>
      <c r="D26" s="3" t="s">
        <v>36</v>
      </c>
      <c r="E26" s="4" t="s">
        <v>37</v>
      </c>
      <c r="F26" s="5" t="s">
        <v>38</v>
      </c>
      <c r="G26" s="105">
        <v>6528.56</v>
      </c>
      <c r="H26" s="8">
        <f t="shared" si="0"/>
        <v>6528.56</v>
      </c>
    </row>
    <row r="27" spans="2:8" s="1" customFormat="1" ht="38.25">
      <c r="B27" s="251" t="s">
        <v>2255</v>
      </c>
      <c r="C27" s="251" t="s">
        <v>39</v>
      </c>
      <c r="D27" s="3" t="s">
        <v>40</v>
      </c>
      <c r="E27" s="4" t="s">
        <v>37</v>
      </c>
      <c r="F27" s="5" t="s">
        <v>38</v>
      </c>
      <c r="G27" s="105">
        <v>10057.799999999999</v>
      </c>
      <c r="H27" s="8">
        <f t="shared" si="0"/>
        <v>10057.799999999999</v>
      </c>
    </row>
    <row r="28" spans="2:8" s="1" customFormat="1" ht="38.25">
      <c r="B28" s="251" t="s">
        <v>2256</v>
      </c>
      <c r="C28" s="251" t="s">
        <v>41</v>
      </c>
      <c r="D28" s="3" t="s">
        <v>42</v>
      </c>
      <c r="E28" s="4" t="s">
        <v>24</v>
      </c>
      <c r="F28" s="5" t="s">
        <v>43</v>
      </c>
      <c r="G28" s="105">
        <v>454.11</v>
      </c>
      <c r="H28" s="8">
        <f t="shared" si="0"/>
        <v>14531.52</v>
      </c>
    </row>
    <row r="29" spans="2:8" s="1" customFormat="1" ht="38.25">
      <c r="B29" s="251" t="s">
        <v>2257</v>
      </c>
      <c r="C29" s="251" t="s">
        <v>44</v>
      </c>
      <c r="D29" s="3" t="s">
        <v>45</v>
      </c>
      <c r="E29" s="4" t="s">
        <v>24</v>
      </c>
      <c r="F29" s="5" t="s">
        <v>46</v>
      </c>
      <c r="G29" s="105">
        <v>927.77</v>
      </c>
      <c r="H29" s="8">
        <f t="shared" si="0"/>
        <v>14844.32</v>
      </c>
    </row>
    <row r="30" spans="2:8" s="1" customFormat="1" ht="38.25">
      <c r="B30" s="251" t="s">
        <v>2258</v>
      </c>
      <c r="C30" s="251" t="s">
        <v>47</v>
      </c>
      <c r="D30" s="3" t="s">
        <v>48</v>
      </c>
      <c r="E30" s="4" t="s">
        <v>24</v>
      </c>
      <c r="F30" s="5" t="s">
        <v>49</v>
      </c>
      <c r="G30" s="105">
        <v>1230.6199999999999</v>
      </c>
      <c r="H30" s="8">
        <f t="shared" si="0"/>
        <v>4922.4799999999996</v>
      </c>
    </row>
    <row r="31" spans="2:8" s="212" customFormat="1" ht="15" customHeight="1">
      <c r="B31" s="250" t="s">
        <v>50</v>
      </c>
      <c r="C31" s="250"/>
      <c r="D31" s="268" t="s">
        <v>51</v>
      </c>
      <c r="E31" s="268"/>
      <c r="F31" s="268"/>
      <c r="G31" s="268"/>
      <c r="H31" s="271"/>
    </row>
    <row r="32" spans="2:8" s="1" customFormat="1" ht="25.5">
      <c r="B32" s="251" t="s">
        <v>2259</v>
      </c>
      <c r="C32" s="251" t="s">
        <v>1942</v>
      </c>
      <c r="D32" s="3" t="s">
        <v>52</v>
      </c>
      <c r="E32" s="4" t="s">
        <v>37</v>
      </c>
      <c r="F32" s="5" t="s">
        <v>38</v>
      </c>
      <c r="G32" s="105">
        <f>CPU!H44</f>
        <v>1969.73218</v>
      </c>
      <c r="H32" s="8">
        <f t="shared" si="0"/>
        <v>1969.73218</v>
      </c>
    </row>
    <row r="33" spans="2:8" s="1" customFormat="1" ht="25.5">
      <c r="B33" s="251" t="s">
        <v>2260</v>
      </c>
      <c r="C33" s="251" t="s">
        <v>1948</v>
      </c>
      <c r="D33" s="3" t="s">
        <v>53</v>
      </c>
      <c r="E33" s="4" t="s">
        <v>37</v>
      </c>
      <c r="F33" s="5" t="s">
        <v>38</v>
      </c>
      <c r="G33" s="105">
        <f>CPU!H52</f>
        <v>4095.5532000000003</v>
      </c>
      <c r="H33" s="8">
        <f t="shared" si="0"/>
        <v>4095.5532000000003</v>
      </c>
    </row>
    <row r="34" spans="2:8" s="1" customFormat="1" ht="25.5">
      <c r="B34" s="251" t="s">
        <v>2261</v>
      </c>
      <c r="C34" s="251" t="s">
        <v>1949</v>
      </c>
      <c r="D34" s="3" t="s">
        <v>54</v>
      </c>
      <c r="E34" s="4" t="s">
        <v>37</v>
      </c>
      <c r="F34" s="5" t="s">
        <v>38</v>
      </c>
      <c r="G34" s="105">
        <f>CPU!H66</f>
        <v>1188.6671634999998</v>
      </c>
      <c r="H34" s="8">
        <f t="shared" si="0"/>
        <v>1188.6671634999998</v>
      </c>
    </row>
    <row r="35" spans="2:8" s="1" customFormat="1" ht="25.5">
      <c r="B35" s="251" t="s">
        <v>2262</v>
      </c>
      <c r="C35" s="251" t="s">
        <v>1951</v>
      </c>
      <c r="D35" s="214" t="s">
        <v>55</v>
      </c>
      <c r="E35" s="4" t="s">
        <v>37</v>
      </c>
      <c r="F35" s="5" t="s">
        <v>38</v>
      </c>
      <c r="G35" s="105">
        <f>CPU!H75</f>
        <v>661.23586239999997</v>
      </c>
      <c r="H35" s="8">
        <f t="shared" si="0"/>
        <v>661.23586239999997</v>
      </c>
    </row>
    <row r="36" spans="2:8" s="212" customFormat="1" ht="15" customHeight="1">
      <c r="B36" s="250" t="s">
        <v>56</v>
      </c>
      <c r="C36" s="250"/>
      <c r="D36" s="268" t="s">
        <v>57</v>
      </c>
      <c r="E36" s="268"/>
      <c r="F36" s="268"/>
      <c r="G36" s="268"/>
      <c r="H36" s="271"/>
    </row>
    <row r="37" spans="2:8" s="1" customFormat="1" ht="17.100000000000001" customHeight="1">
      <c r="B37" s="251" t="s">
        <v>2263</v>
      </c>
      <c r="C37" s="251">
        <v>4813</v>
      </c>
      <c r="D37" s="214" t="s">
        <v>58</v>
      </c>
      <c r="E37" s="4" t="s">
        <v>24</v>
      </c>
      <c r="F37" s="5" t="s">
        <v>59</v>
      </c>
      <c r="G37" s="105">
        <v>225</v>
      </c>
      <c r="H37" s="8">
        <f t="shared" si="0"/>
        <v>3168</v>
      </c>
    </row>
    <row r="38" spans="2:8" s="1" customFormat="1" ht="17.100000000000001" customHeight="1">
      <c r="B38" s="251" t="s">
        <v>2264</v>
      </c>
      <c r="C38" s="251" t="s">
        <v>60</v>
      </c>
      <c r="D38" s="214" t="s">
        <v>61</v>
      </c>
      <c r="E38" s="4" t="s">
        <v>24</v>
      </c>
      <c r="F38" s="5" t="s">
        <v>62</v>
      </c>
      <c r="G38" s="105">
        <v>132.63</v>
      </c>
      <c r="H38" s="8">
        <f t="shared" si="0"/>
        <v>114857.58</v>
      </c>
    </row>
    <row r="39" spans="2:8" s="212" customFormat="1" ht="15" customHeight="1">
      <c r="B39" s="250" t="s">
        <v>63</v>
      </c>
      <c r="C39" s="250"/>
      <c r="D39" s="268" t="s">
        <v>64</v>
      </c>
      <c r="E39" s="268"/>
      <c r="F39" s="268"/>
      <c r="G39" s="268"/>
      <c r="H39" s="271"/>
    </row>
    <row r="40" spans="2:8" s="1" customFormat="1" ht="38.25">
      <c r="B40" s="251" t="s">
        <v>2265</v>
      </c>
      <c r="C40" s="251" t="s">
        <v>65</v>
      </c>
      <c r="D40" s="3" t="s">
        <v>66</v>
      </c>
      <c r="E40" s="4" t="s">
        <v>15</v>
      </c>
      <c r="F40" s="5" t="s">
        <v>67</v>
      </c>
      <c r="G40" s="105">
        <v>57.56</v>
      </c>
      <c r="H40" s="8">
        <f t="shared" si="0"/>
        <v>19455.280000000002</v>
      </c>
    </row>
    <row r="41" spans="2:8" s="212" customFormat="1" ht="15" customHeight="1">
      <c r="B41" s="250" t="s">
        <v>68</v>
      </c>
      <c r="C41" s="250"/>
      <c r="D41" s="268" t="s">
        <v>69</v>
      </c>
      <c r="E41" s="268"/>
      <c r="F41" s="268"/>
      <c r="G41" s="268"/>
      <c r="H41" s="271"/>
    </row>
    <row r="42" spans="2:8" s="1" customFormat="1" ht="25.5">
      <c r="B42" s="251" t="s">
        <v>2268</v>
      </c>
      <c r="C42" s="251" t="s">
        <v>1954</v>
      </c>
      <c r="D42" s="214" t="s">
        <v>77</v>
      </c>
      <c r="E42" s="4" t="s">
        <v>24</v>
      </c>
      <c r="F42" s="5" t="s">
        <v>78</v>
      </c>
      <c r="G42" s="105">
        <f>CPU!H80</f>
        <v>0.65234999999999999</v>
      </c>
      <c r="H42" s="8">
        <f t="shared" si="0"/>
        <v>6197.9773500000001</v>
      </c>
    </row>
    <row r="43" spans="2:8" s="212" customFormat="1" ht="20.100000000000001" customHeight="1">
      <c r="B43" s="253"/>
      <c r="C43" s="259"/>
      <c r="D43" s="260" t="s">
        <v>1157</v>
      </c>
      <c r="E43" s="261"/>
      <c r="F43" s="262"/>
      <c r="G43" s="262"/>
      <c r="H43" s="263">
        <f>SUM(H22:H42)</f>
        <v>310041.67575590004</v>
      </c>
    </row>
    <row r="44" spans="2:8" s="212" customFormat="1" ht="20.100000000000001" customHeight="1">
      <c r="B44" s="248" t="s">
        <v>87</v>
      </c>
      <c r="C44" s="248"/>
      <c r="D44" s="264" t="s">
        <v>88</v>
      </c>
      <c r="E44" s="264"/>
      <c r="F44" s="264"/>
      <c r="G44" s="264"/>
      <c r="H44" s="272"/>
    </row>
    <row r="45" spans="2:8" s="212" customFormat="1" ht="15" customHeight="1">
      <c r="B45" s="249" t="s">
        <v>89</v>
      </c>
      <c r="C45" s="249"/>
      <c r="D45" s="266" t="s">
        <v>90</v>
      </c>
      <c r="E45" s="266"/>
      <c r="F45" s="266"/>
      <c r="G45" s="266"/>
      <c r="H45" s="273"/>
    </row>
    <row r="46" spans="2:8" s="212" customFormat="1" ht="15" customHeight="1">
      <c r="B46" s="250" t="s">
        <v>91</v>
      </c>
      <c r="C46" s="250"/>
      <c r="D46" s="268" t="s">
        <v>92</v>
      </c>
      <c r="E46" s="268"/>
      <c r="F46" s="268"/>
      <c r="G46" s="268"/>
      <c r="H46" s="271"/>
    </row>
    <row r="47" spans="2:8" s="212" customFormat="1" ht="15" customHeight="1">
      <c r="B47" s="250" t="s">
        <v>93</v>
      </c>
      <c r="C47" s="250"/>
      <c r="D47" s="268" t="s">
        <v>94</v>
      </c>
      <c r="E47" s="268"/>
      <c r="F47" s="268"/>
      <c r="G47" s="268"/>
      <c r="H47" s="271"/>
    </row>
    <row r="48" spans="2:8" s="212" customFormat="1" ht="15" customHeight="1">
      <c r="B48" s="250" t="s">
        <v>95</v>
      </c>
      <c r="C48" s="250"/>
      <c r="D48" s="268" t="s">
        <v>96</v>
      </c>
      <c r="E48" s="268"/>
      <c r="F48" s="268"/>
      <c r="G48" s="268"/>
      <c r="H48" s="271"/>
    </row>
    <row r="49" spans="2:8" s="1" customFormat="1" ht="51">
      <c r="B49" s="446" t="s">
        <v>2273</v>
      </c>
      <c r="C49" s="446" t="s">
        <v>2177</v>
      </c>
      <c r="D49" s="447" t="s">
        <v>100</v>
      </c>
      <c r="E49" s="4" t="s">
        <v>15</v>
      </c>
      <c r="F49" s="5" t="s">
        <v>101</v>
      </c>
      <c r="G49" s="105">
        <f>CPU!H104</f>
        <v>66.281245863999999</v>
      </c>
      <c r="H49" s="8">
        <f t="shared" ref="H49:H57" si="1">F49*G49</f>
        <v>164311.20849685601</v>
      </c>
    </row>
    <row r="50" spans="2:8" s="1" customFormat="1" ht="53.25" customHeight="1">
      <c r="B50" s="251" t="s">
        <v>2274</v>
      </c>
      <c r="C50" s="251" t="s">
        <v>1959</v>
      </c>
      <c r="D50" s="3" t="s">
        <v>102</v>
      </c>
      <c r="E50" s="4" t="s">
        <v>15</v>
      </c>
      <c r="F50" s="5" t="s">
        <v>103</v>
      </c>
      <c r="G50" s="105">
        <f>CPU!H114</f>
        <v>92.13188886399999</v>
      </c>
      <c r="H50" s="8">
        <f t="shared" si="1"/>
        <v>215220.09238630396</v>
      </c>
    </row>
    <row r="51" spans="2:8" s="1" customFormat="1" ht="54" customHeight="1">
      <c r="B51" s="251" t="s">
        <v>2275</v>
      </c>
      <c r="C51" s="251" t="s">
        <v>2178</v>
      </c>
      <c r="D51" s="3" t="s">
        <v>104</v>
      </c>
      <c r="E51" s="4" t="s">
        <v>15</v>
      </c>
      <c r="F51" s="5" t="s">
        <v>105</v>
      </c>
      <c r="G51" s="105">
        <f>CPU!H124</f>
        <v>134.00128242400001</v>
      </c>
      <c r="H51" s="8">
        <f t="shared" si="1"/>
        <v>141505.35423974402</v>
      </c>
    </row>
    <row r="52" spans="2:8" s="1" customFormat="1" ht="38.25">
      <c r="B52" s="251" t="s">
        <v>2276</v>
      </c>
      <c r="C52" s="251" t="s">
        <v>106</v>
      </c>
      <c r="D52" s="3" t="s">
        <v>107</v>
      </c>
      <c r="E52" s="4" t="s">
        <v>108</v>
      </c>
      <c r="F52" s="5" t="s">
        <v>109</v>
      </c>
      <c r="G52" s="105">
        <v>0.65</v>
      </c>
      <c r="H52" s="8">
        <f t="shared" si="1"/>
        <v>21594.3</v>
      </c>
    </row>
    <row r="53" spans="2:8" s="1" customFormat="1" ht="25.5">
      <c r="B53" s="251" t="s">
        <v>2277</v>
      </c>
      <c r="C53" s="251" t="s">
        <v>110</v>
      </c>
      <c r="D53" s="3" t="s">
        <v>111</v>
      </c>
      <c r="E53" s="4" t="s">
        <v>112</v>
      </c>
      <c r="F53" s="5" t="s">
        <v>113</v>
      </c>
      <c r="G53" s="105">
        <v>14.45</v>
      </c>
      <c r="H53" s="8">
        <f t="shared" si="1"/>
        <v>9797.1</v>
      </c>
    </row>
    <row r="54" spans="2:8" s="1" customFormat="1" ht="25.5">
      <c r="B54" s="251" t="s">
        <v>2278</v>
      </c>
      <c r="C54" s="251" t="s">
        <v>114</v>
      </c>
      <c r="D54" s="3" t="s">
        <v>115</v>
      </c>
      <c r="E54" s="4" t="s">
        <v>112</v>
      </c>
      <c r="F54" s="5" t="s">
        <v>116</v>
      </c>
      <c r="G54" s="105">
        <v>11.94</v>
      </c>
      <c r="H54" s="8">
        <f t="shared" si="1"/>
        <v>164724.24</v>
      </c>
    </row>
    <row r="55" spans="2:8" s="1" customFormat="1" ht="25.5">
      <c r="B55" s="251" t="s">
        <v>2279</v>
      </c>
      <c r="C55" s="251" t="s">
        <v>117</v>
      </c>
      <c r="D55" s="3" t="s">
        <v>118</v>
      </c>
      <c r="E55" s="4" t="s">
        <v>112</v>
      </c>
      <c r="F55" s="5" t="s">
        <v>119</v>
      </c>
      <c r="G55" s="105">
        <v>16.79</v>
      </c>
      <c r="H55" s="8">
        <f t="shared" si="1"/>
        <v>60444</v>
      </c>
    </row>
    <row r="56" spans="2:8" s="1" customFormat="1" ht="25.5">
      <c r="B56" s="251" t="s">
        <v>2280</v>
      </c>
      <c r="C56" s="251" t="s">
        <v>120</v>
      </c>
      <c r="D56" s="3" t="s">
        <v>121</v>
      </c>
      <c r="E56" s="4" t="s">
        <v>37</v>
      </c>
      <c r="F56" s="5" t="s">
        <v>122</v>
      </c>
      <c r="G56" s="105">
        <v>23.17</v>
      </c>
      <c r="H56" s="8">
        <f t="shared" si="1"/>
        <v>9800.91</v>
      </c>
    </row>
    <row r="57" spans="2:8" s="1" customFormat="1" ht="25.5">
      <c r="B57" s="251" t="s">
        <v>2281</v>
      </c>
      <c r="C57" s="251" t="s">
        <v>123</v>
      </c>
      <c r="D57" s="3" t="s">
        <v>124</v>
      </c>
      <c r="E57" s="4" t="s">
        <v>24</v>
      </c>
      <c r="F57" s="5" t="s">
        <v>125</v>
      </c>
      <c r="G57" s="105">
        <v>0.36</v>
      </c>
      <c r="H57" s="8">
        <f t="shared" si="1"/>
        <v>609.12</v>
      </c>
    </row>
    <row r="58" spans="2:8" s="212" customFormat="1" ht="15" customHeight="1">
      <c r="B58" s="250" t="s">
        <v>126</v>
      </c>
      <c r="C58" s="250"/>
      <c r="D58" s="268" t="s">
        <v>127</v>
      </c>
      <c r="E58" s="268"/>
      <c r="F58" s="268"/>
      <c r="G58" s="268"/>
      <c r="H58" s="271"/>
    </row>
    <row r="59" spans="2:8" s="1" customFormat="1" ht="38.25">
      <c r="B59" s="251" t="s">
        <v>2283</v>
      </c>
      <c r="C59" s="251" t="s">
        <v>106</v>
      </c>
      <c r="D59" s="3" t="s">
        <v>107</v>
      </c>
      <c r="E59" s="4" t="s">
        <v>108</v>
      </c>
      <c r="F59" s="5" t="s">
        <v>129</v>
      </c>
      <c r="G59" s="105">
        <v>0.65</v>
      </c>
      <c r="H59" s="8">
        <f t="shared" ref="H59:H65" si="2">F59*G59</f>
        <v>7038.85</v>
      </c>
    </row>
    <row r="60" spans="2:8" s="1" customFormat="1" ht="25.5">
      <c r="B60" s="251" t="s">
        <v>2284</v>
      </c>
      <c r="C60" s="251" t="s">
        <v>130</v>
      </c>
      <c r="D60" s="3" t="s">
        <v>131</v>
      </c>
      <c r="E60" s="4" t="s">
        <v>75</v>
      </c>
      <c r="F60" s="5" t="s">
        <v>132</v>
      </c>
      <c r="G60" s="105">
        <v>86.73</v>
      </c>
      <c r="H60" s="8">
        <f t="shared" si="2"/>
        <v>57328.530000000006</v>
      </c>
    </row>
    <row r="61" spans="2:8" s="1" customFormat="1" ht="18" customHeight="1">
      <c r="B61" s="251" t="s">
        <v>2285</v>
      </c>
      <c r="C61" s="251" t="s">
        <v>133</v>
      </c>
      <c r="D61" s="214" t="s">
        <v>134</v>
      </c>
      <c r="E61" s="4" t="s">
        <v>75</v>
      </c>
      <c r="F61" s="5" t="s">
        <v>135</v>
      </c>
      <c r="G61" s="105">
        <v>44.73</v>
      </c>
      <c r="H61" s="8">
        <f t="shared" si="2"/>
        <v>19681.199999999997</v>
      </c>
    </row>
    <row r="62" spans="2:8" s="1" customFormat="1" ht="15" customHeight="1">
      <c r="B62" s="254"/>
      <c r="C62" s="7"/>
      <c r="D62" s="274" t="s">
        <v>1164</v>
      </c>
      <c r="E62" s="275"/>
      <c r="F62" s="276"/>
      <c r="G62" s="276"/>
      <c r="H62" s="277">
        <f>SUM(H49:H61)</f>
        <v>872054.90512290399</v>
      </c>
    </row>
    <row r="63" spans="2:8" s="212" customFormat="1" ht="15" customHeight="1">
      <c r="B63" s="249" t="s">
        <v>136</v>
      </c>
      <c r="C63" s="249"/>
      <c r="D63" s="266" t="s">
        <v>137</v>
      </c>
      <c r="E63" s="266"/>
      <c r="F63" s="266"/>
      <c r="G63" s="266"/>
      <c r="H63" s="273"/>
    </row>
    <row r="64" spans="2:8" s="212" customFormat="1" ht="15" customHeight="1">
      <c r="B64" s="250" t="s">
        <v>138</v>
      </c>
      <c r="C64" s="250"/>
      <c r="D64" s="268" t="s">
        <v>139</v>
      </c>
      <c r="E64" s="268"/>
      <c r="F64" s="268"/>
      <c r="G64" s="268"/>
      <c r="H64" s="271"/>
    </row>
    <row r="65" spans="2:8" s="1" customFormat="1" ht="38.25">
      <c r="B65" s="251" t="s">
        <v>2286</v>
      </c>
      <c r="C65" s="251" t="s">
        <v>140</v>
      </c>
      <c r="D65" s="3" t="s">
        <v>141</v>
      </c>
      <c r="E65" s="4" t="s">
        <v>75</v>
      </c>
      <c r="F65" s="5" t="s">
        <v>142</v>
      </c>
      <c r="G65" s="105">
        <v>175.93</v>
      </c>
      <c r="H65" s="8">
        <f t="shared" si="2"/>
        <v>9324.2900000000009</v>
      </c>
    </row>
    <row r="66" spans="2:8" s="212" customFormat="1" ht="15" customHeight="1">
      <c r="B66" s="250" t="s">
        <v>143</v>
      </c>
      <c r="C66" s="250"/>
      <c r="D66" s="268" t="s">
        <v>144</v>
      </c>
      <c r="E66" s="268"/>
      <c r="F66" s="268"/>
      <c r="G66" s="268"/>
      <c r="H66" s="271"/>
    </row>
    <row r="67" spans="2:8" s="1" customFormat="1" ht="51">
      <c r="B67" s="251" t="s">
        <v>2287</v>
      </c>
      <c r="C67" s="251" t="s">
        <v>145</v>
      </c>
      <c r="D67" s="3" t="s">
        <v>146</v>
      </c>
      <c r="E67" s="4" t="s">
        <v>24</v>
      </c>
      <c r="F67" s="5" t="s">
        <v>147</v>
      </c>
      <c r="G67" s="105">
        <v>132.18</v>
      </c>
      <c r="H67" s="8">
        <f t="shared" ref="H67:H68" si="3">F67*G67</f>
        <v>99425.796000000017</v>
      </c>
    </row>
    <row r="68" spans="2:8" s="1" customFormat="1" ht="51">
      <c r="B68" s="251" t="s">
        <v>2288</v>
      </c>
      <c r="C68" s="251" t="s">
        <v>148</v>
      </c>
      <c r="D68" s="3" t="s">
        <v>149</v>
      </c>
      <c r="E68" s="4" t="s">
        <v>24</v>
      </c>
      <c r="F68" s="5" t="s">
        <v>150</v>
      </c>
      <c r="G68" s="105">
        <v>90.49</v>
      </c>
      <c r="H68" s="8">
        <f t="shared" si="3"/>
        <v>169849.72999999998</v>
      </c>
    </row>
    <row r="69" spans="2:8" s="212" customFormat="1" ht="15" customHeight="1">
      <c r="B69" s="250" t="s">
        <v>151</v>
      </c>
      <c r="C69" s="250"/>
      <c r="D69" s="268" t="s">
        <v>152</v>
      </c>
      <c r="E69" s="268"/>
      <c r="F69" s="268"/>
      <c r="G69" s="268"/>
      <c r="H69" s="271"/>
    </row>
    <row r="70" spans="2:8" s="1" customFormat="1" ht="24.95" customHeight="1">
      <c r="B70" s="251" t="s">
        <v>2289</v>
      </c>
      <c r="C70" s="251" t="s">
        <v>153</v>
      </c>
      <c r="D70" s="3" t="s">
        <v>154</v>
      </c>
      <c r="E70" s="4" t="s">
        <v>112</v>
      </c>
      <c r="F70" s="5" t="s">
        <v>155</v>
      </c>
      <c r="G70" s="105">
        <v>19.7</v>
      </c>
      <c r="H70" s="8">
        <f t="shared" ref="H70:H79" si="4">F70*G70</f>
        <v>95032.8</v>
      </c>
    </row>
    <row r="71" spans="2:8" s="1" customFormat="1" ht="24.95" customHeight="1">
      <c r="B71" s="251" t="s">
        <v>2290</v>
      </c>
      <c r="C71" s="251" t="s">
        <v>156</v>
      </c>
      <c r="D71" s="3" t="s">
        <v>157</v>
      </c>
      <c r="E71" s="4" t="s">
        <v>112</v>
      </c>
      <c r="F71" s="5" t="s">
        <v>158</v>
      </c>
      <c r="G71" s="105">
        <v>18.510000000000002</v>
      </c>
      <c r="H71" s="8">
        <f t="shared" si="4"/>
        <v>114928.59000000001</v>
      </c>
    </row>
    <row r="72" spans="2:8" s="1" customFormat="1" ht="24.95" customHeight="1">
      <c r="B72" s="251" t="s">
        <v>2291</v>
      </c>
      <c r="C72" s="251" t="s">
        <v>159</v>
      </c>
      <c r="D72" s="3" t="s">
        <v>160</v>
      </c>
      <c r="E72" s="4" t="s">
        <v>112</v>
      </c>
      <c r="F72" s="5" t="s">
        <v>161</v>
      </c>
      <c r="G72" s="105">
        <v>16.579999999999998</v>
      </c>
      <c r="H72" s="8">
        <f t="shared" si="4"/>
        <v>125178.99999999999</v>
      </c>
    </row>
    <row r="73" spans="2:8" s="1" customFormat="1" ht="24.95" customHeight="1">
      <c r="B73" s="251" t="s">
        <v>2292</v>
      </c>
      <c r="C73" s="251" t="s">
        <v>162</v>
      </c>
      <c r="D73" s="3" t="s">
        <v>163</v>
      </c>
      <c r="E73" s="4" t="s">
        <v>112</v>
      </c>
      <c r="F73" s="5" t="s">
        <v>164</v>
      </c>
      <c r="G73" s="105">
        <v>14.04</v>
      </c>
      <c r="H73" s="8">
        <f t="shared" si="4"/>
        <v>23643.359999999997</v>
      </c>
    </row>
    <row r="74" spans="2:8" s="1" customFormat="1" ht="24.95" customHeight="1">
      <c r="B74" s="251" t="s">
        <v>2293</v>
      </c>
      <c r="C74" s="251" t="s">
        <v>165</v>
      </c>
      <c r="D74" s="3" t="s">
        <v>166</v>
      </c>
      <c r="E74" s="4" t="s">
        <v>112</v>
      </c>
      <c r="F74" s="5" t="s">
        <v>167</v>
      </c>
      <c r="G74" s="105">
        <v>13.36</v>
      </c>
      <c r="H74" s="8">
        <f t="shared" si="4"/>
        <v>32838.879999999997</v>
      </c>
    </row>
    <row r="75" spans="2:8" s="1" customFormat="1" ht="24.95" customHeight="1">
      <c r="B75" s="251" t="s">
        <v>2294</v>
      </c>
      <c r="C75" s="251" t="s">
        <v>168</v>
      </c>
      <c r="D75" s="3" t="s">
        <v>169</v>
      </c>
      <c r="E75" s="4" t="s">
        <v>112</v>
      </c>
      <c r="F75" s="5" t="s">
        <v>170</v>
      </c>
      <c r="G75" s="105">
        <v>14.91</v>
      </c>
      <c r="H75" s="8">
        <f t="shared" si="4"/>
        <v>22514.1</v>
      </c>
    </row>
    <row r="76" spans="2:8" s="212" customFormat="1" ht="15" customHeight="1">
      <c r="B76" s="250" t="s">
        <v>171</v>
      </c>
      <c r="C76" s="250"/>
      <c r="D76" s="268" t="s">
        <v>172</v>
      </c>
      <c r="E76" s="268"/>
      <c r="F76" s="268"/>
      <c r="G76" s="268"/>
      <c r="H76" s="271"/>
    </row>
    <row r="77" spans="2:8" s="1" customFormat="1" ht="36.75" customHeight="1">
      <c r="B77" s="251" t="s">
        <v>2295</v>
      </c>
      <c r="C77" s="251" t="s">
        <v>1961</v>
      </c>
      <c r="D77" s="3" t="s">
        <v>173</v>
      </c>
      <c r="E77" s="4" t="s">
        <v>75</v>
      </c>
      <c r="F77" s="5" t="s">
        <v>174</v>
      </c>
      <c r="G77" s="105">
        <f>CPU!H132</f>
        <v>442.09539000000001</v>
      </c>
      <c r="H77" s="8">
        <f t="shared" si="4"/>
        <v>177059.203695</v>
      </c>
    </row>
    <row r="78" spans="2:8" s="212" customFormat="1" ht="15" customHeight="1">
      <c r="B78" s="250" t="s">
        <v>175</v>
      </c>
      <c r="C78" s="250"/>
      <c r="D78" s="268" t="s">
        <v>176</v>
      </c>
      <c r="E78" s="268"/>
      <c r="F78" s="268"/>
      <c r="G78" s="268"/>
      <c r="H78" s="271"/>
    </row>
    <row r="79" spans="2:8" s="1" customFormat="1" ht="25.5">
      <c r="B79" s="251" t="s">
        <v>2296</v>
      </c>
      <c r="C79" s="251" t="s">
        <v>177</v>
      </c>
      <c r="D79" s="3" t="s">
        <v>178</v>
      </c>
      <c r="E79" s="4" t="s">
        <v>24</v>
      </c>
      <c r="F79" s="5" t="s">
        <v>179</v>
      </c>
      <c r="G79" s="105">
        <v>34.1</v>
      </c>
      <c r="H79" s="8">
        <f t="shared" si="4"/>
        <v>93918.22</v>
      </c>
    </row>
    <row r="80" spans="2:8" s="212" customFormat="1" ht="15" customHeight="1">
      <c r="B80" s="255"/>
      <c r="C80" s="251"/>
      <c r="D80" s="274" t="s">
        <v>1165</v>
      </c>
      <c r="E80" s="275"/>
      <c r="F80" s="276"/>
      <c r="G80" s="276"/>
      <c r="H80" s="277">
        <f>SUM(H65:H79)</f>
        <v>963713.96969499998</v>
      </c>
    </row>
    <row r="81" spans="2:8" s="212" customFormat="1" ht="15" customHeight="1">
      <c r="B81" s="250" t="s">
        <v>180</v>
      </c>
      <c r="C81" s="250"/>
      <c r="D81" s="268" t="s">
        <v>181</v>
      </c>
      <c r="E81" s="268"/>
      <c r="F81" s="268"/>
      <c r="G81" s="268"/>
      <c r="H81" s="271" t="s">
        <v>1155</v>
      </c>
    </row>
    <row r="82" spans="2:8" s="212" customFormat="1" ht="15" customHeight="1">
      <c r="B82" s="250" t="s">
        <v>182</v>
      </c>
      <c r="C82" s="250"/>
      <c r="D82" s="268" t="s">
        <v>183</v>
      </c>
      <c r="E82" s="268"/>
      <c r="F82" s="268"/>
      <c r="G82" s="268"/>
      <c r="H82" s="271" t="s">
        <v>1155</v>
      </c>
    </row>
    <row r="83" spans="2:8" s="212" customFormat="1" ht="15" customHeight="1">
      <c r="B83" s="250" t="s">
        <v>184</v>
      </c>
      <c r="C83" s="250"/>
      <c r="D83" s="268" t="s">
        <v>185</v>
      </c>
      <c r="E83" s="268"/>
      <c r="F83" s="268"/>
      <c r="G83" s="268"/>
      <c r="H83" s="271" t="s">
        <v>1155</v>
      </c>
    </row>
    <row r="84" spans="2:8" s="212" customFormat="1" ht="15" customHeight="1">
      <c r="B84" s="250" t="s">
        <v>186</v>
      </c>
      <c r="C84" s="250"/>
      <c r="D84" s="268" t="s">
        <v>187</v>
      </c>
      <c r="E84" s="268"/>
      <c r="F84" s="268"/>
      <c r="G84" s="268"/>
      <c r="H84" s="271" t="s">
        <v>1155</v>
      </c>
    </row>
    <row r="85" spans="2:8" s="1" customFormat="1" ht="66.75" customHeight="1">
      <c r="B85" s="251" t="s">
        <v>2297</v>
      </c>
      <c r="C85" s="251" t="s">
        <v>2213</v>
      </c>
      <c r="D85" s="3" t="s">
        <v>188</v>
      </c>
      <c r="E85" s="4" t="s">
        <v>24</v>
      </c>
      <c r="F85" s="5" t="s">
        <v>189</v>
      </c>
      <c r="G85" s="105">
        <v>65.599999999999994</v>
      </c>
      <c r="H85" s="8">
        <f t="shared" ref="H85" si="5">F85*G85</f>
        <v>37064</v>
      </c>
    </row>
    <row r="86" spans="2:8" s="212" customFormat="1" ht="15" customHeight="1">
      <c r="B86" s="250" t="s">
        <v>190</v>
      </c>
      <c r="C86" s="250"/>
      <c r="D86" s="268" t="s">
        <v>152</v>
      </c>
      <c r="E86" s="268"/>
      <c r="F86" s="268"/>
      <c r="G86" s="268"/>
      <c r="H86" s="271" t="s">
        <v>1155</v>
      </c>
    </row>
    <row r="87" spans="2:8" s="1" customFormat="1" ht="51">
      <c r="B87" s="251" t="s">
        <v>2298</v>
      </c>
      <c r="C87" s="251" t="s">
        <v>191</v>
      </c>
      <c r="D87" s="3" t="s">
        <v>192</v>
      </c>
      <c r="E87" s="4" t="s">
        <v>112</v>
      </c>
      <c r="F87" s="5" t="s">
        <v>193</v>
      </c>
      <c r="G87" s="105">
        <v>20.93</v>
      </c>
      <c r="H87" s="8">
        <f t="shared" ref="H87:H92" si="6">F87*G87</f>
        <v>5640.6350000000002</v>
      </c>
    </row>
    <row r="88" spans="2:8" s="1" customFormat="1" ht="51">
      <c r="B88" s="251" t="s">
        <v>2299</v>
      </c>
      <c r="C88" s="251" t="s">
        <v>194</v>
      </c>
      <c r="D88" s="3" t="s">
        <v>195</v>
      </c>
      <c r="E88" s="4" t="s">
        <v>112</v>
      </c>
      <c r="F88" s="5" t="s">
        <v>196</v>
      </c>
      <c r="G88" s="105">
        <v>19.760000000000002</v>
      </c>
      <c r="H88" s="8">
        <f t="shared" si="6"/>
        <v>40320.280000000006</v>
      </c>
    </row>
    <row r="89" spans="2:8" s="1" customFormat="1" ht="51">
      <c r="B89" s="251" t="s">
        <v>2300</v>
      </c>
      <c r="C89" s="251" t="s">
        <v>197</v>
      </c>
      <c r="D89" s="3" t="s">
        <v>198</v>
      </c>
      <c r="E89" s="4" t="s">
        <v>112</v>
      </c>
      <c r="F89" s="5" t="s">
        <v>199</v>
      </c>
      <c r="G89" s="105">
        <v>16.510000000000002</v>
      </c>
      <c r="H89" s="8">
        <f t="shared" si="6"/>
        <v>14401.673000000001</v>
      </c>
    </row>
    <row r="90" spans="2:8" s="1" customFormat="1" ht="51">
      <c r="B90" s="251" t="s">
        <v>2301</v>
      </c>
      <c r="C90" s="251" t="s">
        <v>200</v>
      </c>
      <c r="D90" s="3" t="s">
        <v>201</v>
      </c>
      <c r="E90" s="4" t="s">
        <v>112</v>
      </c>
      <c r="F90" s="5" t="s">
        <v>202</v>
      </c>
      <c r="G90" s="105">
        <v>13.9</v>
      </c>
      <c r="H90" s="8">
        <f t="shared" si="6"/>
        <v>32261.9</v>
      </c>
    </row>
    <row r="91" spans="2:8" s="1" customFormat="1" ht="51">
      <c r="B91" s="251" t="s">
        <v>2302</v>
      </c>
      <c r="C91" s="251" t="s">
        <v>203</v>
      </c>
      <c r="D91" s="3" t="s">
        <v>204</v>
      </c>
      <c r="E91" s="4" t="s">
        <v>112</v>
      </c>
      <c r="F91" s="5" t="s">
        <v>205</v>
      </c>
      <c r="G91" s="105">
        <v>13.13</v>
      </c>
      <c r="H91" s="8">
        <f t="shared" si="6"/>
        <v>37017.409000000007</v>
      </c>
    </row>
    <row r="92" spans="2:8" s="1" customFormat="1" ht="51">
      <c r="B92" s="251" t="s">
        <v>2303</v>
      </c>
      <c r="C92" s="251" t="s">
        <v>206</v>
      </c>
      <c r="D92" s="3" t="s">
        <v>207</v>
      </c>
      <c r="E92" s="4" t="s">
        <v>112</v>
      </c>
      <c r="F92" s="5" t="s">
        <v>208</v>
      </c>
      <c r="G92" s="105">
        <v>14.64</v>
      </c>
      <c r="H92" s="8">
        <f t="shared" si="6"/>
        <v>6006.7920000000004</v>
      </c>
    </row>
    <row r="93" spans="2:8" s="212" customFormat="1" ht="15" customHeight="1">
      <c r="B93" s="250" t="s">
        <v>209</v>
      </c>
      <c r="C93" s="250"/>
      <c r="D93" s="268" t="s">
        <v>172</v>
      </c>
      <c r="E93" s="268"/>
      <c r="F93" s="268"/>
      <c r="G93" s="268"/>
      <c r="H93" s="271" t="s">
        <v>1155</v>
      </c>
    </row>
    <row r="94" spans="2:8" s="1" customFormat="1" ht="50.25" customHeight="1">
      <c r="B94" s="251" t="s">
        <v>2304</v>
      </c>
      <c r="C94" s="251" t="s">
        <v>210</v>
      </c>
      <c r="D94" s="3" t="s">
        <v>211</v>
      </c>
      <c r="E94" s="4" t="s">
        <v>75</v>
      </c>
      <c r="F94" s="5" t="s">
        <v>212</v>
      </c>
      <c r="G94" s="105">
        <v>437.68</v>
      </c>
      <c r="H94" s="8">
        <f t="shared" ref="H94:H106" si="7">F94*G94</f>
        <v>24317.500800000002</v>
      </c>
    </row>
    <row r="95" spans="2:8" s="212" customFormat="1" ht="15" customHeight="1">
      <c r="B95" s="250" t="s">
        <v>213</v>
      </c>
      <c r="C95" s="250"/>
      <c r="D95" s="268" t="s">
        <v>214</v>
      </c>
      <c r="E95" s="268"/>
      <c r="F95" s="268"/>
      <c r="G95" s="268"/>
      <c r="H95" s="271" t="s">
        <v>1155</v>
      </c>
    </row>
    <row r="96" spans="2:8" s="212" customFormat="1" ht="15" customHeight="1">
      <c r="B96" s="250" t="s">
        <v>215</v>
      </c>
      <c r="C96" s="250"/>
      <c r="D96" s="268" t="s">
        <v>187</v>
      </c>
      <c r="E96" s="268"/>
      <c r="F96" s="268"/>
      <c r="G96" s="268"/>
      <c r="H96" s="271" t="s">
        <v>1155</v>
      </c>
    </row>
    <row r="97" spans="2:8" s="1" customFormat="1" ht="51">
      <c r="B97" s="251" t="s">
        <v>2305</v>
      </c>
      <c r="C97" s="251" t="s">
        <v>216</v>
      </c>
      <c r="D97" s="3" t="s">
        <v>217</v>
      </c>
      <c r="E97" s="4" t="s">
        <v>24</v>
      </c>
      <c r="F97" s="5" t="s">
        <v>218</v>
      </c>
      <c r="G97" s="105">
        <v>189.62</v>
      </c>
      <c r="H97" s="8">
        <f t="shared" si="7"/>
        <v>136972.00700000001</v>
      </c>
    </row>
    <row r="98" spans="2:8" s="212" customFormat="1" ht="15" customHeight="1">
      <c r="B98" s="250" t="s">
        <v>219</v>
      </c>
      <c r="C98" s="250"/>
      <c r="D98" s="268" t="s">
        <v>152</v>
      </c>
      <c r="E98" s="268"/>
      <c r="F98" s="268"/>
      <c r="G98" s="268"/>
      <c r="H98" s="271">
        <f t="shared" si="7"/>
        <v>0</v>
      </c>
    </row>
    <row r="99" spans="2:8" s="1" customFormat="1" ht="26.25" customHeight="1">
      <c r="B99" s="251" t="s">
        <v>2306</v>
      </c>
      <c r="C99" s="251" t="s">
        <v>220</v>
      </c>
      <c r="D99" s="3" t="s">
        <v>221</v>
      </c>
      <c r="E99" s="4" t="s">
        <v>112</v>
      </c>
      <c r="F99" s="5" t="s">
        <v>222</v>
      </c>
      <c r="G99" s="105">
        <v>17.71</v>
      </c>
      <c r="H99" s="8">
        <f t="shared" si="7"/>
        <v>3818.2760000000003</v>
      </c>
    </row>
    <row r="100" spans="2:8" s="1" customFormat="1" ht="51">
      <c r="B100" s="251" t="s">
        <v>2307</v>
      </c>
      <c r="C100" s="251" t="s">
        <v>194</v>
      </c>
      <c r="D100" s="3" t="s">
        <v>195</v>
      </c>
      <c r="E100" s="4" t="s">
        <v>112</v>
      </c>
      <c r="F100" s="5" t="s">
        <v>223</v>
      </c>
      <c r="G100" s="105">
        <v>19.760000000000002</v>
      </c>
      <c r="H100" s="8">
        <f t="shared" si="7"/>
        <v>27126.528000000002</v>
      </c>
    </row>
    <row r="101" spans="2:8" s="1" customFormat="1" ht="51">
      <c r="B101" s="251" t="s">
        <v>2308</v>
      </c>
      <c r="C101" s="251" t="s">
        <v>224</v>
      </c>
      <c r="D101" s="3" t="s">
        <v>225</v>
      </c>
      <c r="E101" s="4" t="s">
        <v>112</v>
      </c>
      <c r="F101" s="5" t="s">
        <v>226</v>
      </c>
      <c r="G101" s="105">
        <v>18.5</v>
      </c>
      <c r="H101" s="8">
        <f t="shared" si="7"/>
        <v>24725.25</v>
      </c>
    </row>
    <row r="102" spans="2:8" s="1" customFormat="1" ht="51">
      <c r="B102" s="251" t="s">
        <v>2309</v>
      </c>
      <c r="C102" s="251" t="s">
        <v>197</v>
      </c>
      <c r="D102" s="3" t="s">
        <v>198</v>
      </c>
      <c r="E102" s="4" t="s">
        <v>112</v>
      </c>
      <c r="F102" s="5" t="s">
        <v>227</v>
      </c>
      <c r="G102" s="105">
        <v>16.510000000000002</v>
      </c>
      <c r="H102" s="8">
        <f t="shared" si="7"/>
        <v>23082.631000000001</v>
      </c>
    </row>
    <row r="103" spans="2:8" s="1" customFormat="1" ht="51">
      <c r="B103" s="251" t="s">
        <v>2310</v>
      </c>
      <c r="C103" s="251" t="s">
        <v>200</v>
      </c>
      <c r="D103" s="3" t="s">
        <v>201</v>
      </c>
      <c r="E103" s="4" t="s">
        <v>112</v>
      </c>
      <c r="F103" s="5" t="s">
        <v>228</v>
      </c>
      <c r="G103" s="105">
        <v>13.9</v>
      </c>
      <c r="H103" s="8">
        <f t="shared" si="7"/>
        <v>11849.75</v>
      </c>
    </row>
    <row r="104" spans="2:8" s="1" customFormat="1" ht="51">
      <c r="B104" s="251" t="s">
        <v>2311</v>
      </c>
      <c r="C104" s="251" t="s">
        <v>203</v>
      </c>
      <c r="D104" s="3" t="s">
        <v>204</v>
      </c>
      <c r="E104" s="4" t="s">
        <v>112</v>
      </c>
      <c r="F104" s="5" t="s">
        <v>229</v>
      </c>
      <c r="G104" s="105">
        <v>13.13</v>
      </c>
      <c r="H104" s="8">
        <f t="shared" si="7"/>
        <v>8304.7250000000004</v>
      </c>
    </row>
    <row r="105" spans="2:8" s="1" customFormat="1" ht="51">
      <c r="B105" s="251" t="s">
        <v>2312</v>
      </c>
      <c r="C105" s="251" t="s">
        <v>206</v>
      </c>
      <c r="D105" s="3" t="s">
        <v>207</v>
      </c>
      <c r="E105" s="4" t="s">
        <v>112</v>
      </c>
      <c r="F105" s="5" t="s">
        <v>230</v>
      </c>
      <c r="G105" s="105">
        <v>14.64</v>
      </c>
      <c r="H105" s="8">
        <f t="shared" si="7"/>
        <v>4911.72</v>
      </c>
    </row>
    <row r="106" spans="2:8" s="1" customFormat="1" ht="51">
      <c r="B106" s="251" t="s">
        <v>2313</v>
      </c>
      <c r="C106" s="251" t="s">
        <v>231</v>
      </c>
      <c r="D106" s="3" t="s">
        <v>232</v>
      </c>
      <c r="E106" s="4" t="s">
        <v>112</v>
      </c>
      <c r="F106" s="5" t="s">
        <v>233</v>
      </c>
      <c r="G106" s="105">
        <v>14.24</v>
      </c>
      <c r="H106" s="8">
        <f t="shared" si="7"/>
        <v>9602.0319999999992</v>
      </c>
    </row>
    <row r="107" spans="2:8" s="212" customFormat="1" ht="15" customHeight="1">
      <c r="B107" s="250" t="s">
        <v>234</v>
      </c>
      <c r="C107" s="250"/>
      <c r="D107" s="268" t="s">
        <v>172</v>
      </c>
      <c r="E107" s="268"/>
      <c r="F107" s="268"/>
      <c r="G107" s="268"/>
      <c r="H107" s="271" t="s">
        <v>1155</v>
      </c>
    </row>
    <row r="108" spans="2:8" s="1" customFormat="1" ht="52.5" customHeight="1">
      <c r="B108" s="251" t="s">
        <v>2314</v>
      </c>
      <c r="C108" s="251" t="s">
        <v>1962</v>
      </c>
      <c r="D108" s="3" t="s">
        <v>235</v>
      </c>
      <c r="E108" s="4" t="s">
        <v>75</v>
      </c>
      <c r="F108" s="5" t="s">
        <v>236</v>
      </c>
      <c r="G108" s="105">
        <f>CPU!H141</f>
        <v>431.41066000000006</v>
      </c>
      <c r="H108" s="8">
        <f t="shared" ref="H108:H114" si="8">F108*G108</f>
        <v>32377.370033000003</v>
      </c>
    </row>
    <row r="109" spans="2:8" s="212" customFormat="1" ht="15" customHeight="1">
      <c r="B109" s="250" t="s">
        <v>237</v>
      </c>
      <c r="C109" s="250"/>
      <c r="D109" s="268" t="s">
        <v>238</v>
      </c>
      <c r="E109" s="268"/>
      <c r="F109" s="268"/>
      <c r="G109" s="268"/>
      <c r="H109" s="271" t="s">
        <v>1155</v>
      </c>
    </row>
    <row r="110" spans="2:8" s="212" customFormat="1" ht="15" customHeight="1">
      <c r="B110" s="250" t="s">
        <v>239</v>
      </c>
      <c r="C110" s="250"/>
      <c r="D110" s="268" t="s">
        <v>187</v>
      </c>
      <c r="E110" s="268"/>
      <c r="F110" s="268"/>
      <c r="G110" s="268"/>
      <c r="H110" s="271" t="s">
        <v>1155</v>
      </c>
    </row>
    <row r="111" spans="2:8" s="1" customFormat="1" ht="42.75" customHeight="1">
      <c r="B111" s="251" t="s">
        <v>2315</v>
      </c>
      <c r="C111" s="251" t="s">
        <v>240</v>
      </c>
      <c r="D111" s="3" t="s">
        <v>241</v>
      </c>
      <c r="E111" s="4" t="s">
        <v>24</v>
      </c>
      <c r="F111" s="5" t="s">
        <v>242</v>
      </c>
      <c r="G111" s="105">
        <v>236.59</v>
      </c>
      <c r="H111" s="8">
        <f t="shared" si="8"/>
        <v>212789.046</v>
      </c>
    </row>
    <row r="112" spans="2:8" s="212" customFormat="1" ht="15" customHeight="1">
      <c r="B112" s="250" t="s">
        <v>243</v>
      </c>
      <c r="C112" s="250"/>
      <c r="D112" s="268" t="s">
        <v>152</v>
      </c>
      <c r="E112" s="268"/>
      <c r="F112" s="268"/>
      <c r="G112" s="268"/>
      <c r="H112" s="271" t="s">
        <v>1155</v>
      </c>
    </row>
    <row r="113" spans="2:8" s="1" customFormat="1" ht="51">
      <c r="B113" s="251" t="s">
        <v>2316</v>
      </c>
      <c r="C113" s="251" t="s">
        <v>244</v>
      </c>
      <c r="D113" s="3" t="s">
        <v>245</v>
      </c>
      <c r="E113" s="4" t="s">
        <v>112</v>
      </c>
      <c r="F113" s="5" t="s">
        <v>246</v>
      </c>
      <c r="G113" s="105">
        <v>18</v>
      </c>
      <c r="H113" s="8">
        <f t="shared" si="8"/>
        <v>71735.400000000009</v>
      </c>
    </row>
    <row r="114" spans="2:8" s="1" customFormat="1" ht="51.75" customHeight="1">
      <c r="B114" s="251" t="s">
        <v>2317</v>
      </c>
      <c r="C114" s="251" t="s">
        <v>247</v>
      </c>
      <c r="D114" s="3" t="s">
        <v>248</v>
      </c>
      <c r="E114" s="4" t="s">
        <v>112</v>
      </c>
      <c r="F114" s="5" t="s">
        <v>249</v>
      </c>
      <c r="G114" s="105">
        <v>17.16</v>
      </c>
      <c r="H114" s="8">
        <f t="shared" si="8"/>
        <v>92718.911999999997</v>
      </c>
    </row>
    <row r="115" spans="2:8" s="212" customFormat="1" ht="15" customHeight="1">
      <c r="B115" s="250" t="s">
        <v>250</v>
      </c>
      <c r="C115" s="250"/>
      <c r="D115" s="268" t="s">
        <v>172</v>
      </c>
      <c r="E115" s="268"/>
      <c r="F115" s="268"/>
      <c r="G115" s="268"/>
      <c r="H115" s="269"/>
    </row>
    <row r="116" spans="2:8" s="1" customFormat="1" ht="51.75" customHeight="1">
      <c r="B116" s="251" t="s">
        <v>2318</v>
      </c>
      <c r="C116" s="251" t="s">
        <v>1962</v>
      </c>
      <c r="D116" s="3" t="s">
        <v>235</v>
      </c>
      <c r="E116" s="4" t="s">
        <v>75</v>
      </c>
      <c r="F116" s="5" t="s">
        <v>251</v>
      </c>
      <c r="G116" s="105">
        <f>CPU!H141</f>
        <v>431.41066000000006</v>
      </c>
      <c r="H116" s="8">
        <f t="shared" ref="H116:H122" si="9">F116*G116</f>
        <v>69478.686793000015</v>
      </c>
    </row>
    <row r="117" spans="2:8" s="212" customFormat="1" ht="15" customHeight="1">
      <c r="B117" s="250" t="s">
        <v>252</v>
      </c>
      <c r="C117" s="250"/>
      <c r="D117" s="268" t="s">
        <v>253</v>
      </c>
      <c r="E117" s="268"/>
      <c r="F117" s="268"/>
      <c r="G117" s="268"/>
      <c r="H117" s="269"/>
    </row>
    <row r="118" spans="2:8" s="1" customFormat="1" ht="25.5">
      <c r="B118" s="251" t="s">
        <v>2319</v>
      </c>
      <c r="C118" s="251" t="s">
        <v>1963</v>
      </c>
      <c r="D118" s="3" t="s">
        <v>254</v>
      </c>
      <c r="E118" s="4" t="s">
        <v>24</v>
      </c>
      <c r="F118" s="5">
        <v>2776.67</v>
      </c>
      <c r="G118" s="105">
        <f>CPU!H150</f>
        <v>189.10905</v>
      </c>
      <c r="H118" s="8">
        <f t="shared" si="9"/>
        <v>525093.42586349999</v>
      </c>
    </row>
    <row r="119" spans="2:8" s="1" customFormat="1" ht="25.5">
      <c r="B119" s="251" t="s">
        <v>2320</v>
      </c>
      <c r="C119" s="251" t="s">
        <v>1966</v>
      </c>
      <c r="D119" s="85" t="s">
        <v>1806</v>
      </c>
      <c r="E119" s="102" t="s">
        <v>24</v>
      </c>
      <c r="F119" s="5">
        <v>2873.33</v>
      </c>
      <c r="G119" s="105">
        <f>CPU!H159</f>
        <v>167.88215</v>
      </c>
      <c r="H119" s="8">
        <f t="shared" si="9"/>
        <v>482380.81805949996</v>
      </c>
    </row>
    <row r="120" spans="2:8" s="212" customFormat="1" ht="15" customHeight="1">
      <c r="B120" s="250" t="s">
        <v>255</v>
      </c>
      <c r="C120" s="250"/>
      <c r="D120" s="268" t="s">
        <v>256</v>
      </c>
      <c r="E120" s="268"/>
      <c r="F120" s="268"/>
      <c r="G120" s="268"/>
      <c r="H120" s="269"/>
    </row>
    <row r="121" spans="2:8" s="212" customFormat="1" ht="15" customHeight="1">
      <c r="B121" s="250" t="s">
        <v>257</v>
      </c>
      <c r="C121" s="250"/>
      <c r="D121" s="268" t="s">
        <v>187</v>
      </c>
      <c r="E121" s="268"/>
      <c r="F121" s="268"/>
      <c r="G121" s="268"/>
      <c r="H121" s="269"/>
    </row>
    <row r="122" spans="2:8" s="1" customFormat="1" ht="51">
      <c r="B122" s="251" t="s">
        <v>2321</v>
      </c>
      <c r="C122" s="251" t="s">
        <v>258</v>
      </c>
      <c r="D122" s="3" t="s">
        <v>259</v>
      </c>
      <c r="E122" s="4" t="s">
        <v>24</v>
      </c>
      <c r="F122" s="5" t="s">
        <v>260</v>
      </c>
      <c r="G122" s="105">
        <v>35.9</v>
      </c>
      <c r="H122" s="8">
        <f t="shared" si="9"/>
        <v>90349.529999999984</v>
      </c>
    </row>
    <row r="123" spans="2:8" s="212" customFormat="1" ht="15" customHeight="1">
      <c r="B123" s="250" t="s">
        <v>261</v>
      </c>
      <c r="C123" s="250"/>
      <c r="D123" s="268" t="s">
        <v>152</v>
      </c>
      <c r="E123" s="268"/>
      <c r="F123" s="268"/>
      <c r="G123" s="268"/>
      <c r="H123" s="271" t="s">
        <v>1155</v>
      </c>
    </row>
    <row r="124" spans="2:8" s="1" customFormat="1" ht="38.25">
      <c r="B124" s="251" t="s">
        <v>2322</v>
      </c>
      <c r="C124" s="251" t="s">
        <v>262</v>
      </c>
      <c r="D124" s="3" t="s">
        <v>263</v>
      </c>
      <c r="E124" s="4" t="s">
        <v>112</v>
      </c>
      <c r="F124" s="5" t="s">
        <v>264</v>
      </c>
      <c r="G124" s="105">
        <v>17.97</v>
      </c>
      <c r="H124" s="8">
        <f t="shared" ref="H124:H129" si="10">F124*G124</f>
        <v>138981.777</v>
      </c>
    </row>
    <row r="125" spans="2:8" s="1" customFormat="1" ht="38.25">
      <c r="B125" s="251" t="s">
        <v>2323</v>
      </c>
      <c r="C125" s="251" t="s">
        <v>265</v>
      </c>
      <c r="D125" s="3" t="s">
        <v>266</v>
      </c>
      <c r="E125" s="4" t="s">
        <v>112</v>
      </c>
      <c r="F125" s="5" t="s">
        <v>267</v>
      </c>
      <c r="G125" s="105">
        <v>17.170000000000002</v>
      </c>
      <c r="H125" s="8">
        <f t="shared" si="10"/>
        <v>120706.81700000002</v>
      </c>
    </row>
    <row r="126" spans="2:8" s="1" customFormat="1" ht="38.25">
      <c r="B126" s="251" t="s">
        <v>2324</v>
      </c>
      <c r="C126" s="251" t="s">
        <v>268</v>
      </c>
      <c r="D126" s="3" t="s">
        <v>269</v>
      </c>
      <c r="E126" s="4" t="s">
        <v>112</v>
      </c>
      <c r="F126" s="5" t="s">
        <v>270</v>
      </c>
      <c r="G126" s="105">
        <v>15.51</v>
      </c>
      <c r="H126" s="8">
        <f t="shared" si="10"/>
        <v>36971.186999999998</v>
      </c>
    </row>
    <row r="127" spans="2:8" s="1" customFormat="1" ht="38.25">
      <c r="B127" s="251" t="s">
        <v>2325</v>
      </c>
      <c r="C127" s="251" t="s">
        <v>271</v>
      </c>
      <c r="D127" s="3" t="s">
        <v>272</v>
      </c>
      <c r="E127" s="4" t="s">
        <v>112</v>
      </c>
      <c r="F127" s="5" t="s">
        <v>273</v>
      </c>
      <c r="G127" s="105">
        <v>13.18</v>
      </c>
      <c r="H127" s="8">
        <f t="shared" si="10"/>
        <v>21239.57</v>
      </c>
    </row>
    <row r="128" spans="2:8" s="212" customFormat="1" ht="15" customHeight="1">
      <c r="B128" s="250" t="s">
        <v>274</v>
      </c>
      <c r="C128" s="250"/>
      <c r="D128" s="268" t="s">
        <v>172</v>
      </c>
      <c r="E128" s="268"/>
      <c r="F128" s="268"/>
      <c r="G128" s="268"/>
      <c r="H128" s="271" t="s">
        <v>1155</v>
      </c>
    </row>
    <row r="129" spans="2:8" s="1" customFormat="1" ht="38.25">
      <c r="B129" s="251" t="s">
        <v>2326</v>
      </c>
      <c r="C129" s="251" t="s">
        <v>275</v>
      </c>
      <c r="D129" s="3" t="s">
        <v>276</v>
      </c>
      <c r="E129" s="4" t="s">
        <v>75</v>
      </c>
      <c r="F129" s="5" t="s">
        <v>277</v>
      </c>
      <c r="G129" s="105">
        <v>445.28</v>
      </c>
      <c r="H129" s="8">
        <f t="shared" si="10"/>
        <v>122042.34239999998</v>
      </c>
    </row>
    <row r="130" spans="2:8" s="212" customFormat="1" ht="15" customHeight="1">
      <c r="B130" s="250" t="s">
        <v>278</v>
      </c>
      <c r="C130" s="250"/>
      <c r="D130" s="268" t="s">
        <v>279</v>
      </c>
      <c r="E130" s="268"/>
      <c r="F130" s="268"/>
      <c r="G130" s="268"/>
      <c r="H130" s="271" t="s">
        <v>1155</v>
      </c>
    </row>
    <row r="131" spans="2:8" s="212" customFormat="1" ht="15" customHeight="1">
      <c r="B131" s="250" t="s">
        <v>280</v>
      </c>
      <c r="C131" s="250"/>
      <c r="D131" s="268" t="s">
        <v>187</v>
      </c>
      <c r="E131" s="268"/>
      <c r="F131" s="268"/>
      <c r="G131" s="268"/>
      <c r="H131" s="271" t="s">
        <v>1155</v>
      </c>
    </row>
    <row r="132" spans="2:8" s="1" customFormat="1" ht="51">
      <c r="B132" s="251" t="s">
        <v>2327</v>
      </c>
      <c r="C132" s="251" t="s">
        <v>258</v>
      </c>
      <c r="D132" s="3" t="s">
        <v>259</v>
      </c>
      <c r="E132" s="4" t="s">
        <v>24</v>
      </c>
      <c r="F132" s="5" t="s">
        <v>281</v>
      </c>
      <c r="G132" s="105">
        <v>35.9</v>
      </c>
      <c r="H132" s="8">
        <f t="shared" ref="H132:H138" si="11">F132*G132</f>
        <v>7711.32</v>
      </c>
    </row>
    <row r="133" spans="2:8" s="1" customFormat="1" ht="51">
      <c r="B133" s="251" t="s">
        <v>2328</v>
      </c>
      <c r="C133" s="251" t="s">
        <v>240</v>
      </c>
      <c r="D133" s="3" t="s">
        <v>282</v>
      </c>
      <c r="E133" s="4" t="s">
        <v>24</v>
      </c>
      <c r="F133" s="5" t="s">
        <v>283</v>
      </c>
      <c r="G133" s="105">
        <v>236.59</v>
      </c>
      <c r="H133" s="8">
        <f t="shared" si="11"/>
        <v>4045.6890000000003</v>
      </c>
    </row>
    <row r="134" spans="2:8" s="212" customFormat="1" ht="15" customHeight="1">
      <c r="B134" s="250" t="s">
        <v>284</v>
      </c>
      <c r="C134" s="250"/>
      <c r="D134" s="268" t="s">
        <v>152</v>
      </c>
      <c r="E134" s="268"/>
      <c r="F134" s="268"/>
      <c r="G134" s="268"/>
      <c r="H134" s="271" t="s">
        <v>1155</v>
      </c>
    </row>
    <row r="135" spans="2:8" s="1" customFormat="1" ht="38.25">
      <c r="B135" s="251" t="s">
        <v>2329</v>
      </c>
      <c r="C135" s="251" t="s">
        <v>265</v>
      </c>
      <c r="D135" s="3" t="s">
        <v>266</v>
      </c>
      <c r="E135" s="4" t="s">
        <v>112</v>
      </c>
      <c r="F135" s="5" t="s">
        <v>285</v>
      </c>
      <c r="G135" s="105">
        <v>17.170000000000002</v>
      </c>
      <c r="H135" s="8">
        <f t="shared" si="11"/>
        <v>28311.613000000005</v>
      </c>
    </row>
    <row r="136" spans="2:8" s="1" customFormat="1" ht="38.25">
      <c r="B136" s="251" t="s">
        <v>2330</v>
      </c>
      <c r="C136" s="251" t="s">
        <v>268</v>
      </c>
      <c r="D136" s="3" t="s">
        <v>269</v>
      </c>
      <c r="E136" s="4" t="s">
        <v>112</v>
      </c>
      <c r="F136" s="5" t="s">
        <v>286</v>
      </c>
      <c r="G136" s="105">
        <v>15.51</v>
      </c>
      <c r="H136" s="8">
        <f t="shared" si="11"/>
        <v>10168.356</v>
      </c>
    </row>
    <row r="137" spans="2:8" s="212" customFormat="1" ht="15" customHeight="1">
      <c r="B137" s="250" t="s">
        <v>287</v>
      </c>
      <c r="C137" s="250"/>
      <c r="D137" s="268" t="s">
        <v>172</v>
      </c>
      <c r="E137" s="268"/>
      <c r="F137" s="268"/>
      <c r="G137" s="268"/>
      <c r="H137" s="271" t="s">
        <v>1155</v>
      </c>
    </row>
    <row r="138" spans="2:8" s="1" customFormat="1" ht="38.25">
      <c r="B138" s="251" t="s">
        <v>2331</v>
      </c>
      <c r="C138" s="251" t="s">
        <v>1967</v>
      </c>
      <c r="D138" s="3" t="s">
        <v>288</v>
      </c>
      <c r="E138" s="4" t="s">
        <v>75</v>
      </c>
      <c r="F138" s="5" t="s">
        <v>289</v>
      </c>
      <c r="G138" s="105">
        <f>CPU!H166</f>
        <v>401.64215200000001</v>
      </c>
      <c r="H138" s="8">
        <f t="shared" si="11"/>
        <v>8836.1273440000004</v>
      </c>
    </row>
    <row r="139" spans="2:8" s="212" customFormat="1" ht="15" customHeight="1">
      <c r="B139" s="250" t="s">
        <v>290</v>
      </c>
      <c r="C139" s="250"/>
      <c r="D139" s="268" t="s">
        <v>291</v>
      </c>
      <c r="E139" s="268"/>
      <c r="F139" s="268"/>
      <c r="G139" s="268"/>
      <c r="H139" s="271" t="s">
        <v>1155</v>
      </c>
    </row>
    <row r="140" spans="2:8" s="212" customFormat="1" ht="15" customHeight="1">
      <c r="B140" s="250" t="s">
        <v>292</v>
      </c>
      <c r="C140" s="250"/>
      <c r="D140" s="268" t="s">
        <v>187</v>
      </c>
      <c r="E140" s="268"/>
      <c r="F140" s="268"/>
      <c r="G140" s="268"/>
      <c r="H140" s="271" t="s">
        <v>1155</v>
      </c>
    </row>
    <row r="141" spans="2:8" s="1" customFormat="1" ht="39.75" customHeight="1">
      <c r="B141" s="251" t="s">
        <v>2332</v>
      </c>
      <c r="C141" s="251" t="s">
        <v>2214</v>
      </c>
      <c r="D141" s="3" t="s">
        <v>293</v>
      </c>
      <c r="E141" s="4" t="s">
        <v>24</v>
      </c>
      <c r="F141" s="5" t="s">
        <v>294</v>
      </c>
      <c r="G141" s="105">
        <v>254.07</v>
      </c>
      <c r="H141" s="8">
        <f t="shared" ref="H141:H147" si="12">F141*G141</f>
        <v>31824.808199999999</v>
      </c>
    </row>
    <row r="142" spans="2:8" s="212" customFormat="1" ht="15" customHeight="1">
      <c r="B142" s="250" t="s">
        <v>295</v>
      </c>
      <c r="C142" s="250"/>
      <c r="D142" s="268" t="s">
        <v>152</v>
      </c>
      <c r="E142" s="268"/>
      <c r="F142" s="268"/>
      <c r="G142" s="268"/>
      <c r="H142" s="271" t="s">
        <v>1155</v>
      </c>
    </row>
    <row r="143" spans="2:8" s="1" customFormat="1" ht="39" customHeight="1">
      <c r="B143" s="251" t="s">
        <v>2333</v>
      </c>
      <c r="C143" s="251" t="s">
        <v>296</v>
      </c>
      <c r="D143" s="3" t="s">
        <v>297</v>
      </c>
      <c r="E143" s="4" t="s">
        <v>112</v>
      </c>
      <c r="F143" s="5" t="s">
        <v>298</v>
      </c>
      <c r="G143" s="105">
        <v>22.93</v>
      </c>
      <c r="H143" s="8">
        <f t="shared" si="12"/>
        <v>2900.645</v>
      </c>
    </row>
    <row r="144" spans="2:8" s="1" customFormat="1" ht="41.25" customHeight="1">
      <c r="B144" s="251" t="s">
        <v>2334</v>
      </c>
      <c r="C144" s="251" t="s">
        <v>299</v>
      </c>
      <c r="D144" s="3" t="s">
        <v>300</v>
      </c>
      <c r="E144" s="4" t="s">
        <v>112</v>
      </c>
      <c r="F144" s="5" t="s">
        <v>301</v>
      </c>
      <c r="G144" s="105">
        <v>19.62</v>
      </c>
      <c r="H144" s="8">
        <f t="shared" si="12"/>
        <v>6237.1980000000003</v>
      </c>
    </row>
    <row r="145" spans="2:8" s="1" customFormat="1" ht="39" customHeight="1">
      <c r="B145" s="251" t="s">
        <v>2335</v>
      </c>
      <c r="C145" s="251" t="s">
        <v>302</v>
      </c>
      <c r="D145" s="3" t="s">
        <v>303</v>
      </c>
      <c r="E145" s="4" t="s">
        <v>112</v>
      </c>
      <c r="F145" s="5" t="s">
        <v>304</v>
      </c>
      <c r="G145" s="105">
        <v>16.329999999999998</v>
      </c>
      <c r="H145" s="8">
        <f t="shared" si="12"/>
        <v>2945.9319999999998</v>
      </c>
    </row>
    <row r="146" spans="2:8" s="212" customFormat="1" ht="15" customHeight="1">
      <c r="B146" s="250" t="s">
        <v>305</v>
      </c>
      <c r="C146" s="250"/>
      <c r="D146" s="268" t="s">
        <v>172</v>
      </c>
      <c r="E146" s="268"/>
      <c r="F146" s="268"/>
      <c r="G146" s="268"/>
      <c r="H146" s="271" t="s">
        <v>1155</v>
      </c>
    </row>
    <row r="147" spans="2:8" s="1" customFormat="1" ht="51.75" customHeight="1">
      <c r="B147" s="251" t="s">
        <v>2336</v>
      </c>
      <c r="C147" s="251" t="s">
        <v>1962</v>
      </c>
      <c r="D147" s="3" t="s">
        <v>235</v>
      </c>
      <c r="E147" s="4" t="s">
        <v>75</v>
      </c>
      <c r="F147" s="5" t="s">
        <v>306</v>
      </c>
      <c r="G147" s="105">
        <f>CPU!H141</f>
        <v>431.41066000000006</v>
      </c>
      <c r="H147" s="8">
        <f t="shared" si="12"/>
        <v>9706.7398500000018</v>
      </c>
    </row>
    <row r="148" spans="2:8" s="212" customFormat="1" ht="15" customHeight="1">
      <c r="B148" s="250" t="s">
        <v>307</v>
      </c>
      <c r="C148" s="250"/>
      <c r="D148" s="268" t="s">
        <v>308</v>
      </c>
      <c r="E148" s="268"/>
      <c r="F148" s="268"/>
      <c r="G148" s="268"/>
      <c r="H148" s="271" t="s">
        <v>1155</v>
      </c>
    </row>
    <row r="149" spans="2:8" s="1" customFormat="1" ht="25.5">
      <c r="B149" s="251" t="s">
        <v>2337</v>
      </c>
      <c r="C149" s="251" t="s">
        <v>309</v>
      </c>
      <c r="D149" s="3" t="s">
        <v>310</v>
      </c>
      <c r="E149" s="4" t="s">
        <v>37</v>
      </c>
      <c r="F149" s="5" t="s">
        <v>311</v>
      </c>
      <c r="G149" s="105">
        <v>57.28</v>
      </c>
      <c r="H149" s="8">
        <f t="shared" ref="H149:H155" si="13">F149*G149</f>
        <v>1374.72</v>
      </c>
    </row>
    <row r="150" spans="2:8" s="1" customFormat="1" ht="27" customHeight="1">
      <c r="B150" s="251" t="s">
        <v>2338</v>
      </c>
      <c r="C150" s="251" t="s">
        <v>312</v>
      </c>
      <c r="D150" s="3" t="s">
        <v>313</v>
      </c>
      <c r="E150" s="4" t="s">
        <v>37</v>
      </c>
      <c r="F150" s="5" t="s">
        <v>314</v>
      </c>
      <c r="G150" s="105">
        <v>91.76</v>
      </c>
      <c r="H150" s="8">
        <f t="shared" si="13"/>
        <v>4404.4800000000005</v>
      </c>
    </row>
    <row r="151" spans="2:8" s="1" customFormat="1" ht="25.5">
      <c r="B151" s="251" t="s">
        <v>2339</v>
      </c>
      <c r="C151" s="251" t="s">
        <v>315</v>
      </c>
      <c r="D151" s="3" t="s">
        <v>316</v>
      </c>
      <c r="E151" s="4" t="s">
        <v>37</v>
      </c>
      <c r="F151" s="5" t="s">
        <v>317</v>
      </c>
      <c r="G151" s="105">
        <v>117.2</v>
      </c>
      <c r="H151" s="8">
        <f t="shared" si="13"/>
        <v>28245.200000000001</v>
      </c>
    </row>
    <row r="152" spans="2:8" s="1" customFormat="1" ht="38.25">
      <c r="B152" s="251" t="s">
        <v>2340</v>
      </c>
      <c r="C152" s="258" t="s">
        <v>1234</v>
      </c>
      <c r="D152" s="103" t="s">
        <v>1807</v>
      </c>
      <c r="E152" s="104" t="s">
        <v>24</v>
      </c>
      <c r="F152" s="105">
        <v>2797.28</v>
      </c>
      <c r="G152" s="105">
        <v>30.57</v>
      </c>
      <c r="H152" s="8">
        <f t="shared" si="13"/>
        <v>85512.849600000001</v>
      </c>
    </row>
    <row r="153" spans="2:8" s="212" customFormat="1" ht="15" customHeight="1">
      <c r="B153" s="250" t="s">
        <v>318</v>
      </c>
      <c r="C153" s="250"/>
      <c r="D153" s="268" t="s">
        <v>319</v>
      </c>
      <c r="E153" s="268"/>
      <c r="F153" s="268"/>
      <c r="G153" s="268"/>
      <c r="H153" s="271" t="s">
        <v>1155</v>
      </c>
    </row>
    <row r="154" spans="2:8" s="1" customFormat="1" ht="25.5" customHeight="1">
      <c r="B154" s="251" t="s">
        <v>2341</v>
      </c>
      <c r="C154" s="251" t="s">
        <v>2179</v>
      </c>
      <c r="D154" s="214" t="s">
        <v>320</v>
      </c>
      <c r="E154" s="4" t="s">
        <v>24</v>
      </c>
      <c r="F154" s="5" t="s">
        <v>321</v>
      </c>
      <c r="G154" s="105">
        <f>CPU!H174</f>
        <v>18.697235000000003</v>
      </c>
      <c r="H154" s="8">
        <f t="shared" si="13"/>
        <v>1531.3035465000003</v>
      </c>
    </row>
    <row r="155" spans="2:8" s="1" customFormat="1" ht="25.5">
      <c r="B155" s="251" t="s">
        <v>2342</v>
      </c>
      <c r="C155" s="251" t="s">
        <v>2180</v>
      </c>
      <c r="D155" s="3" t="s">
        <v>322</v>
      </c>
      <c r="E155" s="4" t="s">
        <v>15</v>
      </c>
      <c r="F155" s="5" t="s">
        <v>323</v>
      </c>
      <c r="G155" s="105">
        <f>CPU!H180</f>
        <v>136.25910000000002</v>
      </c>
      <c r="H155" s="8">
        <f t="shared" si="13"/>
        <v>16487.351100000003</v>
      </c>
    </row>
    <row r="156" spans="2:8" s="212" customFormat="1" ht="15" customHeight="1">
      <c r="B156" s="251"/>
      <c r="C156" s="251"/>
      <c r="D156" s="274" t="s">
        <v>1166</v>
      </c>
      <c r="E156" s="275"/>
      <c r="F156" s="276"/>
      <c r="G156" s="276"/>
      <c r="H156" s="277">
        <f>SUM(H85:H155)</f>
        <v>2714532.3235894991</v>
      </c>
    </row>
    <row r="157" spans="2:8" s="212" customFormat="1" ht="15" customHeight="1">
      <c r="B157" s="250" t="s">
        <v>324</v>
      </c>
      <c r="C157" s="250"/>
      <c r="D157" s="268" t="s">
        <v>325</v>
      </c>
      <c r="E157" s="268"/>
      <c r="F157" s="268"/>
      <c r="G157" s="268"/>
      <c r="H157" s="271" t="s">
        <v>1155</v>
      </c>
    </row>
    <row r="158" spans="2:8" s="212" customFormat="1" ht="15" customHeight="1">
      <c r="B158" s="250" t="s">
        <v>326</v>
      </c>
      <c r="C158" s="250"/>
      <c r="D158" s="268" t="s">
        <v>327</v>
      </c>
      <c r="E158" s="268"/>
      <c r="F158" s="268"/>
      <c r="G158" s="268"/>
      <c r="H158" s="271" t="s">
        <v>1155</v>
      </c>
    </row>
    <row r="159" spans="2:8" s="1" customFormat="1" ht="25.5" customHeight="1">
      <c r="B159" s="251" t="s">
        <v>2343</v>
      </c>
      <c r="C159" s="251" t="s">
        <v>1970</v>
      </c>
      <c r="D159" s="214" t="s">
        <v>1163</v>
      </c>
      <c r="E159" s="4" t="s">
        <v>112</v>
      </c>
      <c r="F159" s="5">
        <v>329508.25</v>
      </c>
      <c r="G159" s="105">
        <f>CPU!H187</f>
        <v>13.928759999999999</v>
      </c>
      <c r="H159" s="8">
        <f t="shared" ref="H159:H160" si="14">F159*G159</f>
        <v>4589641.3322699992</v>
      </c>
    </row>
    <row r="160" spans="2:8" s="1" customFormat="1" ht="27.75" customHeight="1">
      <c r="B160" s="251" t="s">
        <v>2344</v>
      </c>
      <c r="C160" s="251" t="s">
        <v>1972</v>
      </c>
      <c r="D160" s="3" t="s">
        <v>1226</v>
      </c>
      <c r="E160" s="4" t="s">
        <v>24</v>
      </c>
      <c r="F160" s="5">
        <v>6974</v>
      </c>
      <c r="G160" s="105">
        <f>CPU!H195</f>
        <v>6.5143900000000006</v>
      </c>
      <c r="H160" s="8">
        <f t="shared" si="14"/>
        <v>45431.355860000003</v>
      </c>
    </row>
    <row r="161" spans="2:8" s="1" customFormat="1" ht="17.25" customHeight="1">
      <c r="B161" s="251"/>
      <c r="C161" s="251"/>
      <c r="D161" s="274" t="s">
        <v>1167</v>
      </c>
      <c r="E161" s="4"/>
      <c r="F161" s="5"/>
      <c r="G161" s="5"/>
      <c r="H161" s="277">
        <f>SUM(H159:H160)</f>
        <v>4635072.6881299987</v>
      </c>
    </row>
    <row r="162" spans="2:8" s="212" customFormat="1" ht="20.100000000000001" customHeight="1">
      <c r="B162" s="253"/>
      <c r="C162" s="259"/>
      <c r="D162" s="260" t="s">
        <v>2796</v>
      </c>
      <c r="E162" s="261"/>
      <c r="F162" s="262"/>
      <c r="G162" s="262"/>
      <c r="H162" s="263">
        <f>H62+H80+H156+H161</f>
        <v>9185373.8865374029</v>
      </c>
    </row>
    <row r="163" spans="2:8" s="212" customFormat="1" ht="20.100000000000001" customHeight="1">
      <c r="B163" s="248" t="s">
        <v>328</v>
      </c>
      <c r="C163" s="248"/>
      <c r="D163" s="264" t="s">
        <v>329</v>
      </c>
      <c r="E163" s="264"/>
      <c r="F163" s="264"/>
      <c r="G163" s="264"/>
      <c r="H163" s="272" t="s">
        <v>1155</v>
      </c>
    </row>
    <row r="164" spans="2:8" s="212" customFormat="1" ht="15" customHeight="1">
      <c r="B164" s="249" t="s">
        <v>330</v>
      </c>
      <c r="C164" s="249"/>
      <c r="D164" s="266" t="s">
        <v>331</v>
      </c>
      <c r="E164" s="266"/>
      <c r="F164" s="266"/>
      <c r="G164" s="266"/>
      <c r="H164" s="273" t="s">
        <v>1155</v>
      </c>
    </row>
    <row r="165" spans="2:8" s="212" customFormat="1" ht="15" customHeight="1">
      <c r="B165" s="244" t="s">
        <v>332</v>
      </c>
      <c r="C165" s="244"/>
      <c r="D165" s="245" t="s">
        <v>333</v>
      </c>
      <c r="E165" s="245"/>
      <c r="F165" s="245"/>
      <c r="G165" s="245"/>
      <c r="H165" s="279" t="s">
        <v>1155</v>
      </c>
    </row>
    <row r="166" spans="2:8" s="212" customFormat="1" ht="15" customHeight="1">
      <c r="B166" s="250" t="s">
        <v>334</v>
      </c>
      <c r="C166" s="250"/>
      <c r="D166" s="268" t="s">
        <v>2726</v>
      </c>
      <c r="E166" s="268"/>
      <c r="F166" s="268"/>
      <c r="G166" s="268"/>
      <c r="H166" s="271" t="s">
        <v>1155</v>
      </c>
    </row>
    <row r="167" spans="2:8" s="1" customFormat="1" ht="63.75">
      <c r="B167" s="251" t="s">
        <v>2345</v>
      </c>
      <c r="C167" s="251" t="s">
        <v>2835</v>
      </c>
      <c r="D167" s="3" t="s">
        <v>335</v>
      </c>
      <c r="E167" s="4" t="s">
        <v>24</v>
      </c>
      <c r="F167" s="5">
        <v>2575.4499999999998</v>
      </c>
      <c r="G167" s="105">
        <v>56.49</v>
      </c>
      <c r="H167" s="8">
        <f t="shared" ref="H167:H170" si="15">F167*G167</f>
        <v>145487.17050000001</v>
      </c>
    </row>
    <row r="168" spans="2:8" s="1" customFormat="1" ht="67.5" customHeight="1">
      <c r="B168" s="251" t="s">
        <v>2346</v>
      </c>
      <c r="C168" s="251" t="s">
        <v>2836</v>
      </c>
      <c r="D168" s="3" t="s">
        <v>336</v>
      </c>
      <c r="E168" s="4" t="s">
        <v>24</v>
      </c>
      <c r="F168" s="5" t="s">
        <v>337</v>
      </c>
      <c r="G168" s="105">
        <v>93.02</v>
      </c>
      <c r="H168" s="8">
        <f t="shared" si="15"/>
        <v>22975.94</v>
      </c>
    </row>
    <row r="169" spans="2:8" s="1" customFormat="1" ht="25.5">
      <c r="B169" s="251" t="s">
        <v>2347</v>
      </c>
      <c r="C169" s="251" t="s">
        <v>338</v>
      </c>
      <c r="D169" s="3" t="s">
        <v>339</v>
      </c>
      <c r="E169" s="4" t="s">
        <v>15</v>
      </c>
      <c r="F169" s="5" t="s">
        <v>340</v>
      </c>
      <c r="G169" s="105">
        <v>38.4</v>
      </c>
      <c r="H169" s="8">
        <f t="shared" si="15"/>
        <v>960</v>
      </c>
    </row>
    <row r="170" spans="2:8" s="1" customFormat="1" ht="25.5">
      <c r="B170" s="251" t="s">
        <v>2348</v>
      </c>
      <c r="C170" s="251" t="s">
        <v>341</v>
      </c>
      <c r="D170" s="3" t="s">
        <v>342</v>
      </c>
      <c r="E170" s="4" t="s">
        <v>15</v>
      </c>
      <c r="F170" s="5" t="s">
        <v>343</v>
      </c>
      <c r="G170" s="105">
        <v>25.78</v>
      </c>
      <c r="H170" s="8">
        <f t="shared" si="15"/>
        <v>32384.836000000003</v>
      </c>
    </row>
    <row r="171" spans="2:8" s="212" customFormat="1" ht="15" customHeight="1">
      <c r="B171" s="250" t="s">
        <v>344</v>
      </c>
      <c r="C171" s="250"/>
      <c r="D171" s="268" t="s">
        <v>2727</v>
      </c>
      <c r="E171" s="268"/>
      <c r="F171" s="268"/>
      <c r="G171" s="268"/>
      <c r="H171" s="271" t="s">
        <v>1155</v>
      </c>
    </row>
    <row r="172" spans="2:8" s="1" customFormat="1" ht="39.75" customHeight="1">
      <c r="B172" s="251" t="s">
        <v>2349</v>
      </c>
      <c r="C172" s="251" t="s">
        <v>1973</v>
      </c>
      <c r="D172" s="3" t="s">
        <v>345</v>
      </c>
      <c r="E172" s="4" t="s">
        <v>24</v>
      </c>
      <c r="F172" s="5">
        <v>364.79</v>
      </c>
      <c r="G172" s="105">
        <f>CPU!H202</f>
        <v>256.78961800000002</v>
      </c>
      <c r="H172" s="8">
        <f t="shared" ref="H172:H177" si="16">F172*G172</f>
        <v>93674.284750220017</v>
      </c>
    </row>
    <row r="173" spans="2:8" s="212" customFormat="1" ht="15" customHeight="1">
      <c r="B173" s="250" t="s">
        <v>346</v>
      </c>
      <c r="C173" s="250"/>
      <c r="D173" s="268" t="s">
        <v>2728</v>
      </c>
      <c r="E173" s="268"/>
      <c r="F173" s="268"/>
      <c r="G173" s="268"/>
      <c r="H173" s="271" t="s">
        <v>1155</v>
      </c>
    </row>
    <row r="174" spans="2:8" s="1" customFormat="1" ht="38.25">
      <c r="B174" s="251" t="s">
        <v>2350</v>
      </c>
      <c r="C174" s="251" t="s">
        <v>2181</v>
      </c>
      <c r="D174" s="3" t="s">
        <v>347</v>
      </c>
      <c r="E174" s="4" t="s">
        <v>24</v>
      </c>
      <c r="F174" s="5">
        <v>251.29</v>
      </c>
      <c r="G174" s="105">
        <f>CPU!H211</f>
        <v>409.51754</v>
      </c>
      <c r="H174" s="8">
        <f t="shared" si="16"/>
        <v>102907.66262659999</v>
      </c>
    </row>
    <row r="175" spans="2:8" s="1" customFormat="1" ht="38.25">
      <c r="B175" s="251" t="s">
        <v>2351</v>
      </c>
      <c r="C175" s="251" t="s">
        <v>2182</v>
      </c>
      <c r="D175" s="3" t="s">
        <v>348</v>
      </c>
      <c r="E175" s="4" t="s">
        <v>24</v>
      </c>
      <c r="F175" s="5">
        <v>616.95000000000005</v>
      </c>
      <c r="G175" s="105">
        <f>CPU!H220</f>
        <v>501.05756000000002</v>
      </c>
      <c r="H175" s="8">
        <f t="shared" si="16"/>
        <v>309127.46164200001</v>
      </c>
    </row>
    <row r="176" spans="2:8" s="212" customFormat="1" ht="15" customHeight="1">
      <c r="B176" s="250" t="s">
        <v>349</v>
      </c>
      <c r="C176" s="250"/>
      <c r="D176" s="268" t="s">
        <v>2729</v>
      </c>
      <c r="E176" s="268"/>
      <c r="F176" s="268"/>
      <c r="G176" s="268"/>
      <c r="H176" s="271" t="s">
        <v>1155</v>
      </c>
    </row>
    <row r="177" spans="2:8" s="1" customFormat="1" ht="42" customHeight="1">
      <c r="B177" s="251" t="s">
        <v>2352</v>
      </c>
      <c r="C177" s="251" t="s">
        <v>1977</v>
      </c>
      <c r="D177" s="3" t="s">
        <v>1809</v>
      </c>
      <c r="E177" s="4" t="s">
        <v>24</v>
      </c>
      <c r="F177" s="5" t="s">
        <v>350</v>
      </c>
      <c r="G177" s="105">
        <f>CPU!H228</f>
        <v>720.386258</v>
      </c>
      <c r="H177" s="8">
        <f t="shared" si="16"/>
        <v>102655.041765</v>
      </c>
    </row>
    <row r="178" spans="2:8" s="1" customFormat="1" ht="15" customHeight="1">
      <c r="B178" s="255"/>
      <c r="C178" s="7"/>
      <c r="D178" s="274" t="s">
        <v>1168</v>
      </c>
      <c r="E178" s="275"/>
      <c r="F178" s="276"/>
      <c r="G178" s="276"/>
      <c r="H178" s="277">
        <f>SUM(H167:H177)</f>
        <v>810172.39728381997</v>
      </c>
    </row>
    <row r="179" spans="2:8" s="212" customFormat="1" ht="15" customHeight="1">
      <c r="B179" s="250" t="s">
        <v>351</v>
      </c>
      <c r="C179" s="250"/>
      <c r="D179" s="268" t="s">
        <v>352</v>
      </c>
      <c r="E179" s="268"/>
      <c r="F179" s="268"/>
      <c r="G179" s="268"/>
      <c r="H179" s="271" t="s">
        <v>1155</v>
      </c>
    </row>
    <row r="180" spans="2:8" s="212" customFormat="1" ht="15" customHeight="1">
      <c r="B180" s="250" t="s">
        <v>353</v>
      </c>
      <c r="C180" s="250"/>
      <c r="D180" s="268" t="s">
        <v>354</v>
      </c>
      <c r="E180" s="268"/>
      <c r="F180" s="268"/>
      <c r="G180" s="268"/>
      <c r="H180" s="271" t="s">
        <v>1155</v>
      </c>
    </row>
    <row r="181" spans="2:8" s="1" customFormat="1" ht="25.5">
      <c r="B181" s="251" t="s">
        <v>2353</v>
      </c>
      <c r="C181" s="251" t="s">
        <v>1978</v>
      </c>
      <c r="D181" s="3" t="s">
        <v>355</v>
      </c>
      <c r="E181" s="4" t="s">
        <v>24</v>
      </c>
      <c r="F181" s="5">
        <v>201.43</v>
      </c>
      <c r="G181" s="105">
        <f>CPU!H232</f>
        <v>443.30374076999999</v>
      </c>
      <c r="H181" s="8">
        <f t="shared" ref="H181:H188" si="17">F181*G181</f>
        <v>89294.672503301103</v>
      </c>
    </row>
    <row r="182" spans="2:8" s="1" customFormat="1" ht="29.25" customHeight="1">
      <c r="B182" s="251" t="s">
        <v>2354</v>
      </c>
      <c r="C182" s="251" t="s">
        <v>1980</v>
      </c>
      <c r="D182" s="214" t="s">
        <v>356</v>
      </c>
      <c r="E182" s="4" t="s">
        <v>24</v>
      </c>
      <c r="F182" s="5">
        <v>59.5</v>
      </c>
      <c r="G182" s="105">
        <f>CPU!H236</f>
        <v>517.69329811</v>
      </c>
      <c r="H182" s="8">
        <f t="shared" si="17"/>
        <v>30802.751237544999</v>
      </c>
    </row>
    <row r="183" spans="2:8" s="1" customFormat="1" ht="25.5" customHeight="1">
      <c r="B183" s="251" t="s">
        <v>2355</v>
      </c>
      <c r="C183" s="251" t="s">
        <v>1982</v>
      </c>
      <c r="D183" s="215" t="s">
        <v>1810</v>
      </c>
      <c r="E183" s="106" t="s">
        <v>24</v>
      </c>
      <c r="F183" s="105">
        <v>5.73</v>
      </c>
      <c r="G183" s="105">
        <f>CPU!H244</f>
        <v>1777.5655400000001</v>
      </c>
      <c r="H183" s="8">
        <f t="shared" si="17"/>
        <v>10185.450544200001</v>
      </c>
    </row>
    <row r="184" spans="2:8" s="1" customFormat="1" ht="25.5" customHeight="1">
      <c r="B184" s="251" t="s">
        <v>2356</v>
      </c>
      <c r="C184" s="251" t="s">
        <v>1983</v>
      </c>
      <c r="D184" s="214" t="s">
        <v>357</v>
      </c>
      <c r="E184" s="4" t="s">
        <v>37</v>
      </c>
      <c r="F184" s="5" t="s">
        <v>358</v>
      </c>
      <c r="G184" s="105">
        <f>CPU!H254</f>
        <v>147.92658</v>
      </c>
      <c r="H184" s="8">
        <f t="shared" si="17"/>
        <v>443.77974</v>
      </c>
    </row>
    <row r="185" spans="2:8" s="212" customFormat="1" ht="15" customHeight="1">
      <c r="B185" s="250" t="s">
        <v>359</v>
      </c>
      <c r="C185" s="250"/>
      <c r="D185" s="268" t="s">
        <v>360</v>
      </c>
      <c r="E185" s="268"/>
      <c r="F185" s="268"/>
      <c r="G185" s="268"/>
      <c r="H185" s="271" t="s">
        <v>1155</v>
      </c>
    </row>
    <row r="186" spans="2:8" s="1" customFormat="1" ht="63" customHeight="1">
      <c r="B186" s="251" t="s">
        <v>2357</v>
      </c>
      <c r="C186" s="251" t="s">
        <v>1985</v>
      </c>
      <c r="D186" s="85" t="s">
        <v>1815</v>
      </c>
      <c r="E186" s="4" t="s">
        <v>24</v>
      </c>
      <c r="F186" s="105">
        <v>205.89</v>
      </c>
      <c r="G186" s="105">
        <f>CPU!H274</f>
        <v>541.341545</v>
      </c>
      <c r="H186" s="8">
        <f t="shared" si="17"/>
        <v>111456.81070004999</v>
      </c>
    </row>
    <row r="187" spans="2:8" s="212" customFormat="1" ht="15" customHeight="1">
      <c r="B187" s="250" t="s">
        <v>361</v>
      </c>
      <c r="C187" s="250"/>
      <c r="D187" s="268" t="s">
        <v>362</v>
      </c>
      <c r="E187" s="268"/>
      <c r="F187" s="268"/>
      <c r="G187" s="268"/>
      <c r="H187" s="271" t="s">
        <v>1155</v>
      </c>
    </row>
    <row r="188" spans="2:8" s="1" customFormat="1" ht="25.5">
      <c r="B188" s="251" t="s">
        <v>2358</v>
      </c>
      <c r="C188" s="251" t="s">
        <v>363</v>
      </c>
      <c r="D188" s="3" t="s">
        <v>364</v>
      </c>
      <c r="E188" s="4" t="s">
        <v>37</v>
      </c>
      <c r="F188" s="5" t="s">
        <v>38</v>
      </c>
      <c r="G188" s="105">
        <v>1461.2</v>
      </c>
      <c r="H188" s="8">
        <f t="shared" si="17"/>
        <v>1461.2</v>
      </c>
    </row>
    <row r="189" spans="2:8" s="212" customFormat="1" ht="15" customHeight="1">
      <c r="B189" s="250" t="s">
        <v>365</v>
      </c>
      <c r="C189" s="250"/>
      <c r="D189" s="268" t="s">
        <v>366</v>
      </c>
      <c r="E189" s="268"/>
      <c r="F189" s="268"/>
      <c r="G189" s="268"/>
      <c r="H189" s="271" t="s">
        <v>1155</v>
      </c>
    </row>
    <row r="190" spans="2:8" s="1" customFormat="1" ht="25.5" customHeight="1">
      <c r="B190" s="251" t="s">
        <v>2359</v>
      </c>
      <c r="C190" s="251" t="s">
        <v>1987</v>
      </c>
      <c r="D190" s="3" t="s">
        <v>1825</v>
      </c>
      <c r="E190" s="4" t="s">
        <v>37</v>
      </c>
      <c r="F190" s="5" t="s">
        <v>25</v>
      </c>
      <c r="G190" s="105">
        <f>CPU!H294</f>
        <v>5222.9002560199997</v>
      </c>
      <c r="H190" s="8">
        <f t="shared" ref="H190:H206" si="18">F190*G190</f>
        <v>141018.30691253999</v>
      </c>
    </row>
    <row r="191" spans="2:8" s="1" customFormat="1" ht="25.5">
      <c r="B191" s="251" t="s">
        <v>2360</v>
      </c>
      <c r="C191" s="251" t="s">
        <v>1988</v>
      </c>
      <c r="D191" s="3" t="s">
        <v>1826</v>
      </c>
      <c r="E191" s="4" t="s">
        <v>37</v>
      </c>
      <c r="F191" s="5" t="s">
        <v>367</v>
      </c>
      <c r="G191" s="105">
        <f>CPU!H315</f>
        <v>3376.2095017000001</v>
      </c>
      <c r="H191" s="8">
        <f t="shared" si="18"/>
        <v>6752.4190034000003</v>
      </c>
    </row>
    <row r="192" spans="2:8" s="1" customFormat="1" ht="25.5">
      <c r="B192" s="251" t="s">
        <v>2361</v>
      </c>
      <c r="C192" s="251" t="s">
        <v>1989</v>
      </c>
      <c r="D192" s="3" t="s">
        <v>1827</v>
      </c>
      <c r="E192" s="4" t="s">
        <v>37</v>
      </c>
      <c r="F192" s="5" t="s">
        <v>38</v>
      </c>
      <c r="G192" s="105">
        <f>CPU!H335</f>
        <v>3364.0449374</v>
      </c>
      <c r="H192" s="8">
        <f t="shared" si="18"/>
        <v>3364.0449374</v>
      </c>
    </row>
    <row r="193" spans="2:8" s="1" customFormat="1" ht="25.5">
      <c r="B193" s="251" t="s">
        <v>2362</v>
      </c>
      <c r="C193" s="251" t="s">
        <v>1990</v>
      </c>
      <c r="D193" s="3" t="s">
        <v>1828</v>
      </c>
      <c r="E193" s="4" t="s">
        <v>37</v>
      </c>
      <c r="F193" s="5" t="s">
        <v>367</v>
      </c>
      <c r="G193" s="105">
        <f>CPU!H355</f>
        <v>4089.4586820799996</v>
      </c>
      <c r="H193" s="8">
        <f t="shared" si="18"/>
        <v>8178.9173641599991</v>
      </c>
    </row>
    <row r="194" spans="2:8" s="1" customFormat="1" ht="25.5">
      <c r="B194" s="251" t="s">
        <v>1991</v>
      </c>
      <c r="C194" s="251" t="s">
        <v>2183</v>
      </c>
      <c r="D194" s="3" t="s">
        <v>1829</v>
      </c>
      <c r="E194" s="4" t="s">
        <v>37</v>
      </c>
      <c r="F194" s="5" t="s">
        <v>367</v>
      </c>
      <c r="G194" s="105">
        <f>CPU!H375</f>
        <v>4089.4586820799996</v>
      </c>
      <c r="H194" s="8">
        <f t="shared" si="18"/>
        <v>8178.9173641599991</v>
      </c>
    </row>
    <row r="195" spans="2:8" s="1" customFormat="1" ht="25.5">
      <c r="B195" s="251" t="s">
        <v>2363</v>
      </c>
      <c r="C195" s="251" t="s">
        <v>1992</v>
      </c>
      <c r="D195" s="3" t="s">
        <v>1830</v>
      </c>
      <c r="E195" s="4" t="s">
        <v>37</v>
      </c>
      <c r="F195" s="5">
        <v>1</v>
      </c>
      <c r="G195" s="105">
        <f>CPU!H393</f>
        <v>2548.7195175999996</v>
      </c>
      <c r="H195" s="8">
        <f t="shared" si="18"/>
        <v>2548.7195175999996</v>
      </c>
    </row>
    <row r="196" spans="2:8" s="1" customFormat="1" ht="25.5">
      <c r="B196" s="251" t="s">
        <v>2364</v>
      </c>
      <c r="C196" s="251" t="s">
        <v>1993</v>
      </c>
      <c r="D196" s="3" t="s">
        <v>1831</v>
      </c>
      <c r="E196" s="4" t="s">
        <v>37</v>
      </c>
      <c r="F196" s="5" t="s">
        <v>38</v>
      </c>
      <c r="G196" s="105">
        <f>CPU!H413</f>
        <v>3065.7413004999999</v>
      </c>
      <c r="H196" s="8">
        <f t="shared" si="18"/>
        <v>3065.7413004999999</v>
      </c>
    </row>
    <row r="197" spans="2:8" s="1" customFormat="1" ht="25.5">
      <c r="B197" s="251" t="s">
        <v>2365</v>
      </c>
      <c r="C197" s="251" t="s">
        <v>1994</v>
      </c>
      <c r="D197" s="3" t="s">
        <v>1832</v>
      </c>
      <c r="E197" s="4" t="s">
        <v>37</v>
      </c>
      <c r="F197" s="5">
        <v>2</v>
      </c>
      <c r="G197" s="105">
        <f>CPU!H431</f>
        <v>2547.7549854500003</v>
      </c>
      <c r="H197" s="8">
        <f t="shared" si="18"/>
        <v>5095.5099709000006</v>
      </c>
    </row>
    <row r="198" spans="2:8" s="1" customFormat="1" ht="25.5">
      <c r="B198" s="251" t="s">
        <v>2366</v>
      </c>
      <c r="C198" s="251" t="s">
        <v>1995</v>
      </c>
      <c r="D198" s="3" t="s">
        <v>368</v>
      </c>
      <c r="E198" s="4" t="s">
        <v>37</v>
      </c>
      <c r="F198" s="5" t="s">
        <v>25</v>
      </c>
      <c r="G198" s="105">
        <f>CPU!H451</f>
        <v>3400.7399619700004</v>
      </c>
      <c r="H198" s="8">
        <f t="shared" si="18"/>
        <v>91819.978973190009</v>
      </c>
    </row>
    <row r="199" spans="2:8" s="1" customFormat="1" ht="25.5">
      <c r="B199" s="251" t="s">
        <v>2367</v>
      </c>
      <c r="C199" s="251" t="s">
        <v>1996</v>
      </c>
      <c r="D199" s="3" t="s">
        <v>369</v>
      </c>
      <c r="E199" s="4" t="s">
        <v>37</v>
      </c>
      <c r="F199" s="5" t="s">
        <v>358</v>
      </c>
      <c r="G199" s="105">
        <f>CPU!H470</f>
        <v>3237.4454046261817</v>
      </c>
      <c r="H199" s="8">
        <f t="shared" si="18"/>
        <v>9712.3362138785451</v>
      </c>
    </row>
    <row r="200" spans="2:8" s="1" customFormat="1" ht="25.5">
      <c r="B200" s="251" t="s">
        <v>2368</v>
      </c>
      <c r="C200" s="251" t="s">
        <v>1997</v>
      </c>
      <c r="D200" s="3" t="s">
        <v>370</v>
      </c>
      <c r="E200" s="4" t="s">
        <v>37</v>
      </c>
      <c r="F200" s="5" t="s">
        <v>38</v>
      </c>
      <c r="G200" s="105">
        <f>CPU!H488</f>
        <v>11139.622128461251</v>
      </c>
      <c r="H200" s="8">
        <f t="shared" si="18"/>
        <v>11139.622128461251</v>
      </c>
    </row>
    <row r="201" spans="2:8" s="1" customFormat="1" ht="25.5">
      <c r="B201" s="251" t="s">
        <v>2369</v>
      </c>
      <c r="C201" s="251" t="s">
        <v>2184</v>
      </c>
      <c r="D201" s="3" t="s">
        <v>371</v>
      </c>
      <c r="E201" s="4" t="s">
        <v>37</v>
      </c>
      <c r="F201" s="5" t="s">
        <v>367</v>
      </c>
      <c r="G201" s="105">
        <f>CPU!H507</f>
        <v>1917.9845553748455</v>
      </c>
      <c r="H201" s="8">
        <f t="shared" si="18"/>
        <v>3835.969110749691</v>
      </c>
    </row>
    <row r="202" spans="2:8" s="1" customFormat="1" ht="38.25">
      <c r="B202" s="251" t="s">
        <v>2370</v>
      </c>
      <c r="C202" s="251" t="s">
        <v>1999</v>
      </c>
      <c r="D202" s="3" t="s">
        <v>372</v>
      </c>
      <c r="E202" s="4" t="s">
        <v>37</v>
      </c>
      <c r="F202" s="5" t="s">
        <v>38</v>
      </c>
      <c r="G202" s="105">
        <f>CPU!H530</f>
        <v>12778.601423834034</v>
      </c>
      <c r="H202" s="8">
        <f t="shared" si="18"/>
        <v>12778.601423834034</v>
      </c>
    </row>
    <row r="203" spans="2:8" s="1" customFormat="1" ht="25.5">
      <c r="B203" s="251" t="s">
        <v>2371</v>
      </c>
      <c r="C203" s="251" t="s">
        <v>2000</v>
      </c>
      <c r="D203" s="3" t="s">
        <v>373</v>
      </c>
      <c r="E203" s="4" t="s">
        <v>37</v>
      </c>
      <c r="F203" s="5">
        <v>1</v>
      </c>
      <c r="G203" s="105">
        <f>CPU!H550</f>
        <v>2750.465037363716</v>
      </c>
      <c r="H203" s="8">
        <f t="shared" si="18"/>
        <v>2750.465037363716</v>
      </c>
    </row>
    <row r="204" spans="2:8" s="1" customFormat="1" ht="25.5">
      <c r="B204" s="251" t="s">
        <v>2372</v>
      </c>
      <c r="C204" s="251" t="s">
        <v>2001</v>
      </c>
      <c r="D204" s="3" t="s">
        <v>374</v>
      </c>
      <c r="E204" s="4" t="s">
        <v>37</v>
      </c>
      <c r="F204" s="5">
        <v>3</v>
      </c>
      <c r="G204" s="105">
        <f>CPU!H570</f>
        <v>1092.2796353690178</v>
      </c>
      <c r="H204" s="8">
        <f t="shared" si="18"/>
        <v>3276.8389061070534</v>
      </c>
    </row>
    <row r="205" spans="2:8" s="1" customFormat="1" ht="25.5">
      <c r="B205" s="251" t="s">
        <v>2373</v>
      </c>
      <c r="C205" s="251" t="s">
        <v>2002</v>
      </c>
      <c r="D205" s="3" t="s">
        <v>375</v>
      </c>
      <c r="E205" s="4" t="s">
        <v>37</v>
      </c>
      <c r="F205" s="5">
        <v>2</v>
      </c>
      <c r="G205" s="105">
        <f>CPU!H590</f>
        <v>2723.0956943514989</v>
      </c>
      <c r="H205" s="8">
        <f t="shared" si="18"/>
        <v>5446.1913887029978</v>
      </c>
    </row>
    <row r="206" spans="2:8" s="1" customFormat="1" ht="25.5">
      <c r="B206" s="251" t="s">
        <v>2374</v>
      </c>
      <c r="C206" s="251" t="s">
        <v>2003</v>
      </c>
      <c r="D206" s="3" t="s">
        <v>376</v>
      </c>
      <c r="E206" s="4" t="s">
        <v>37</v>
      </c>
      <c r="F206" s="5" t="s">
        <v>38</v>
      </c>
      <c r="G206" s="105">
        <f>CPU!H610</f>
        <v>2376.6806719621882</v>
      </c>
      <c r="H206" s="8">
        <f t="shared" si="18"/>
        <v>2376.6806719621882</v>
      </c>
    </row>
    <row r="207" spans="2:8" s="212" customFormat="1" ht="15" customHeight="1">
      <c r="B207" s="250" t="s">
        <v>377</v>
      </c>
      <c r="C207" s="250"/>
      <c r="D207" s="268" t="s">
        <v>378</v>
      </c>
      <c r="E207" s="268"/>
      <c r="F207" s="268"/>
      <c r="G207" s="268"/>
      <c r="H207" s="271" t="s">
        <v>1155</v>
      </c>
    </row>
    <row r="208" spans="2:8" s="1" customFormat="1" ht="25.5" customHeight="1">
      <c r="B208" s="251" t="s">
        <v>2375</v>
      </c>
      <c r="C208" s="251" t="s">
        <v>2004</v>
      </c>
      <c r="D208" s="214" t="s">
        <v>379</v>
      </c>
      <c r="E208" s="4" t="s">
        <v>24</v>
      </c>
      <c r="F208" s="5">
        <v>34.97</v>
      </c>
      <c r="G208" s="105">
        <f>CPU!H615</f>
        <v>313.34750000000003</v>
      </c>
      <c r="H208" s="8">
        <f t="shared" ref="H208:H213" si="19">F208*G208</f>
        <v>10957.762075000001</v>
      </c>
    </row>
    <row r="209" spans="2:8" s="1" customFormat="1" ht="25.5" customHeight="1">
      <c r="B209" s="251" t="s">
        <v>2376</v>
      </c>
      <c r="C209" s="251" t="s">
        <v>2005</v>
      </c>
      <c r="D209" s="214" t="s">
        <v>380</v>
      </c>
      <c r="E209" s="4" t="s">
        <v>24</v>
      </c>
      <c r="F209" s="5" t="s">
        <v>381</v>
      </c>
      <c r="G209" s="105">
        <f>CPU!H624</f>
        <v>272.50878011730515</v>
      </c>
      <c r="H209" s="8">
        <f t="shared" si="19"/>
        <v>42266.111796194025</v>
      </c>
    </row>
    <row r="210" spans="2:8" s="1" customFormat="1" ht="25.5" customHeight="1">
      <c r="B210" s="251" t="s">
        <v>2377</v>
      </c>
      <c r="C210" s="251" t="s">
        <v>2006</v>
      </c>
      <c r="D210" s="214" t="s">
        <v>382</v>
      </c>
      <c r="E210" s="4" t="s">
        <v>24</v>
      </c>
      <c r="F210" s="5" t="s">
        <v>383</v>
      </c>
      <c r="G210" s="105">
        <f>CPU!H631</f>
        <v>189.07479611400657</v>
      </c>
      <c r="H210" s="8">
        <f t="shared" si="19"/>
        <v>13982.081172630787</v>
      </c>
    </row>
    <row r="211" spans="2:8" s="1" customFormat="1" ht="25.5">
      <c r="B211" s="251" t="s">
        <v>2378</v>
      </c>
      <c r="C211" s="251" t="s">
        <v>384</v>
      </c>
      <c r="D211" s="3" t="s">
        <v>385</v>
      </c>
      <c r="E211" s="4" t="s">
        <v>15</v>
      </c>
      <c r="F211" s="5">
        <v>473.03</v>
      </c>
      <c r="G211" s="105">
        <v>454.96</v>
      </c>
      <c r="H211" s="8">
        <f t="shared" si="19"/>
        <v>215209.72879999998</v>
      </c>
    </row>
    <row r="212" spans="2:8" s="1" customFormat="1" ht="25.5">
      <c r="B212" s="251" t="s">
        <v>2379</v>
      </c>
      <c r="C212" s="251" t="s">
        <v>2007</v>
      </c>
      <c r="D212" s="3" t="s">
        <v>386</v>
      </c>
      <c r="E212" s="4" t="s">
        <v>15</v>
      </c>
      <c r="F212" s="5">
        <v>7</v>
      </c>
      <c r="G212" s="105">
        <f>CPU!H638</f>
        <v>424.32206075757006</v>
      </c>
      <c r="H212" s="8">
        <f t="shared" si="19"/>
        <v>2970.2544253029905</v>
      </c>
    </row>
    <row r="213" spans="2:8" s="1" customFormat="1" ht="63.75">
      <c r="B213" s="251" t="s">
        <v>2380</v>
      </c>
      <c r="C213" s="251" t="s">
        <v>387</v>
      </c>
      <c r="D213" s="3" t="s">
        <v>388</v>
      </c>
      <c r="E213" s="4" t="s">
        <v>15</v>
      </c>
      <c r="F213" s="5">
        <v>553.83000000000004</v>
      </c>
      <c r="G213" s="105">
        <v>658.72</v>
      </c>
      <c r="H213" s="8">
        <f t="shared" si="19"/>
        <v>364818.89760000003</v>
      </c>
    </row>
    <row r="214" spans="2:8" s="212" customFormat="1" ht="15" customHeight="1">
      <c r="B214" s="250" t="s">
        <v>389</v>
      </c>
      <c r="C214" s="250"/>
      <c r="D214" s="268" t="s">
        <v>390</v>
      </c>
      <c r="E214" s="268"/>
      <c r="F214" s="268"/>
      <c r="G214" s="268"/>
      <c r="H214" s="271" t="s">
        <v>1155</v>
      </c>
    </row>
    <row r="215" spans="2:8" s="1" customFormat="1" ht="64.5" customHeight="1">
      <c r="B215" s="256" t="s">
        <v>2381</v>
      </c>
      <c r="C215" s="251" t="s">
        <v>2008</v>
      </c>
      <c r="D215" s="7" t="s">
        <v>1833</v>
      </c>
      <c r="E215" s="4" t="s">
        <v>24</v>
      </c>
      <c r="F215" s="105">
        <v>586.95000000000005</v>
      </c>
      <c r="G215" s="105">
        <f>CPU!H650</f>
        <v>381.18920000000003</v>
      </c>
      <c r="H215" s="8">
        <f t="shared" ref="H215:H222" si="20">F215*G215</f>
        <v>223739.00094000003</v>
      </c>
    </row>
    <row r="216" spans="2:8" s="1" customFormat="1" ht="63.75">
      <c r="B216" s="256" t="s">
        <v>2382</v>
      </c>
      <c r="C216" s="251" t="s">
        <v>2011</v>
      </c>
      <c r="D216" s="7" t="s">
        <v>1834</v>
      </c>
      <c r="E216" s="4" t="s">
        <v>24</v>
      </c>
      <c r="F216" s="105">
        <v>193.78</v>
      </c>
      <c r="G216" s="105">
        <f>CPU!H664</f>
        <v>329.6728187999999</v>
      </c>
      <c r="H216" s="8">
        <f t="shared" si="20"/>
        <v>63883.998827063981</v>
      </c>
    </row>
    <row r="217" spans="2:8" s="1" customFormat="1" ht="15" customHeight="1">
      <c r="B217" s="251"/>
      <c r="C217" s="7"/>
      <c r="D217" s="274" t="s">
        <v>1169</v>
      </c>
      <c r="E217" s="275"/>
      <c r="F217" s="276"/>
      <c r="G217" s="276"/>
      <c r="H217" s="277">
        <f>SUM(H181:H216)</f>
        <v>1502811.7605861968</v>
      </c>
    </row>
    <row r="218" spans="2:8" s="212" customFormat="1" ht="15" customHeight="1">
      <c r="B218" s="250" t="s">
        <v>391</v>
      </c>
      <c r="C218" s="250"/>
      <c r="D218" s="268" t="s">
        <v>392</v>
      </c>
      <c r="E218" s="268"/>
      <c r="F218" s="268"/>
      <c r="G218" s="268"/>
      <c r="H218" s="271" t="s">
        <v>1155</v>
      </c>
    </row>
    <row r="219" spans="2:8" s="212" customFormat="1" ht="15" customHeight="1">
      <c r="B219" s="250" t="s">
        <v>393</v>
      </c>
      <c r="C219" s="250"/>
      <c r="D219" s="268" t="s">
        <v>394</v>
      </c>
      <c r="E219" s="268"/>
      <c r="F219" s="268"/>
      <c r="G219" s="268"/>
      <c r="H219" s="271" t="s">
        <v>1155</v>
      </c>
    </row>
    <row r="220" spans="2:8" s="1" customFormat="1" ht="25.5" customHeight="1">
      <c r="B220" s="256" t="s">
        <v>2383</v>
      </c>
      <c r="C220" s="251" t="s">
        <v>2012</v>
      </c>
      <c r="D220" s="214" t="s">
        <v>396</v>
      </c>
      <c r="E220" s="4" t="s">
        <v>24</v>
      </c>
      <c r="F220" s="5" t="s">
        <v>397</v>
      </c>
      <c r="G220" s="105">
        <f>CPU!H668</f>
        <v>209.06688212799997</v>
      </c>
      <c r="H220" s="8">
        <f t="shared" si="20"/>
        <v>47725.787852179834</v>
      </c>
    </row>
    <row r="221" spans="2:8" s="1" customFormat="1" ht="25.5" customHeight="1">
      <c r="B221" s="256" t="s">
        <v>2384</v>
      </c>
      <c r="C221" s="251" t="s">
        <v>2013</v>
      </c>
      <c r="D221" s="214" t="s">
        <v>398</v>
      </c>
      <c r="E221" s="4" t="s">
        <v>24</v>
      </c>
      <c r="F221" s="5" t="s">
        <v>399</v>
      </c>
      <c r="G221" s="105">
        <f>CPU!H672</f>
        <v>236.27404339199998</v>
      </c>
      <c r="H221" s="8">
        <f t="shared" si="20"/>
        <v>75567.527298063345</v>
      </c>
    </row>
    <row r="222" spans="2:8" s="1" customFormat="1" ht="39" customHeight="1">
      <c r="B222" s="256" t="s">
        <v>2385</v>
      </c>
      <c r="C222" s="251" t="s">
        <v>2185</v>
      </c>
      <c r="D222" s="3" t="s">
        <v>400</v>
      </c>
      <c r="E222" s="4" t="s">
        <v>24</v>
      </c>
      <c r="F222" s="5" t="s">
        <v>402</v>
      </c>
      <c r="G222" s="105">
        <f>CPU!H676</f>
        <v>1788.7520550000002</v>
      </c>
      <c r="H222" s="8">
        <f t="shared" si="20"/>
        <v>86933.349873000014</v>
      </c>
    </row>
    <row r="223" spans="2:8" s="1" customFormat="1" ht="15" customHeight="1">
      <c r="B223" s="256"/>
      <c r="C223" s="251"/>
      <c r="D223" s="6" t="s">
        <v>1170</v>
      </c>
      <c r="E223" s="4"/>
      <c r="F223" s="5"/>
      <c r="G223" s="5"/>
      <c r="H223" s="8">
        <f>SUM(H220:H222)</f>
        <v>210226.66502324317</v>
      </c>
    </row>
    <row r="224" spans="2:8" s="212" customFormat="1" ht="15" customHeight="1">
      <c r="B224" s="250" t="s">
        <v>403</v>
      </c>
      <c r="C224" s="250"/>
      <c r="D224" s="268" t="s">
        <v>404</v>
      </c>
      <c r="E224" s="268"/>
      <c r="F224" s="268"/>
      <c r="G224" s="268"/>
      <c r="H224" s="271" t="s">
        <v>1155</v>
      </c>
    </row>
    <row r="225" spans="2:8" s="212" customFormat="1" ht="15" customHeight="1">
      <c r="B225" s="250" t="s">
        <v>405</v>
      </c>
      <c r="C225" s="250"/>
      <c r="D225" s="268" t="s">
        <v>406</v>
      </c>
      <c r="E225" s="268"/>
      <c r="F225" s="268"/>
      <c r="G225" s="268"/>
      <c r="H225" s="271" t="s">
        <v>1155</v>
      </c>
    </row>
    <row r="226" spans="2:8" s="1" customFormat="1" ht="38.25">
      <c r="B226" s="256" t="s">
        <v>2386</v>
      </c>
      <c r="C226" s="251" t="s">
        <v>2186</v>
      </c>
      <c r="D226" s="3" t="s">
        <v>407</v>
      </c>
      <c r="E226" s="4" t="s">
        <v>24</v>
      </c>
      <c r="F226" s="5" t="s">
        <v>408</v>
      </c>
      <c r="G226" s="105">
        <f>CPU!H683</f>
        <v>153.46999999999997</v>
      </c>
      <c r="H226" s="8">
        <f t="shared" ref="H226:H234" si="21">F226*G226</f>
        <v>93845.37029999998</v>
      </c>
    </row>
    <row r="227" spans="2:8" s="1" customFormat="1" ht="38.25">
      <c r="B227" s="256" t="s">
        <v>2387</v>
      </c>
      <c r="C227" s="251" t="s">
        <v>2187</v>
      </c>
      <c r="D227" s="3" t="s">
        <v>409</v>
      </c>
      <c r="E227" s="4" t="s">
        <v>24</v>
      </c>
      <c r="F227" s="5" t="s">
        <v>410</v>
      </c>
      <c r="G227" s="105">
        <f>CPU!H690</f>
        <v>191.39999999999995</v>
      </c>
      <c r="H227" s="8">
        <f t="shared" si="21"/>
        <v>169054.04999999996</v>
      </c>
    </row>
    <row r="228" spans="2:8" s="1" customFormat="1" ht="38.25">
      <c r="B228" s="256" t="s">
        <v>2388</v>
      </c>
      <c r="C228" s="251" t="s">
        <v>2188</v>
      </c>
      <c r="D228" s="3" t="s">
        <v>411</v>
      </c>
      <c r="E228" s="4" t="s">
        <v>24</v>
      </c>
      <c r="F228" s="5" t="s">
        <v>397</v>
      </c>
      <c r="G228" s="105">
        <f>CPU!H697</f>
        <v>239.75999999999996</v>
      </c>
      <c r="H228" s="8">
        <f t="shared" si="21"/>
        <v>54732.412799999991</v>
      </c>
    </row>
    <row r="229" spans="2:8" s="212" customFormat="1" ht="15" customHeight="1">
      <c r="B229" s="250" t="s">
        <v>412</v>
      </c>
      <c r="C229" s="250"/>
      <c r="D229" s="268" t="s">
        <v>413</v>
      </c>
      <c r="E229" s="268"/>
      <c r="F229" s="268"/>
      <c r="G229" s="268"/>
      <c r="H229" s="271" t="s">
        <v>1155</v>
      </c>
    </row>
    <row r="230" spans="2:8" s="1" customFormat="1" ht="27.75" customHeight="1">
      <c r="B230" s="256" t="s">
        <v>2389</v>
      </c>
      <c r="C230" s="251" t="s">
        <v>2019</v>
      </c>
      <c r="D230" s="3" t="s">
        <v>414</v>
      </c>
      <c r="E230" s="4" t="s">
        <v>24</v>
      </c>
      <c r="F230" s="5" t="s">
        <v>415</v>
      </c>
      <c r="G230" s="105">
        <f>CPU!H706</f>
        <v>444.36498466250998</v>
      </c>
      <c r="H230" s="8">
        <f t="shared" si="21"/>
        <v>23382.485492941276</v>
      </c>
    </row>
    <row r="231" spans="2:8" s="1" customFormat="1" ht="15" customHeight="1">
      <c r="B231" s="256"/>
      <c r="C231" s="251"/>
      <c r="D231" s="6" t="s">
        <v>1171</v>
      </c>
      <c r="E231" s="4"/>
      <c r="F231" s="5"/>
      <c r="G231" s="5"/>
      <c r="H231" s="8">
        <f>SUM(H226:H230)</f>
        <v>341014.31859294121</v>
      </c>
    </row>
    <row r="232" spans="2:8" s="212" customFormat="1" ht="15" customHeight="1">
      <c r="B232" s="250" t="s">
        <v>416</v>
      </c>
      <c r="C232" s="250"/>
      <c r="D232" s="268" t="s">
        <v>417</v>
      </c>
      <c r="E232" s="268"/>
      <c r="F232" s="268"/>
      <c r="G232" s="268"/>
      <c r="H232" s="271" t="s">
        <v>1155</v>
      </c>
    </row>
    <row r="233" spans="2:8" s="212" customFormat="1" ht="15" customHeight="1">
      <c r="B233" s="250" t="s">
        <v>418</v>
      </c>
      <c r="C233" s="250"/>
      <c r="D233" s="268" t="s">
        <v>419</v>
      </c>
      <c r="E233" s="268"/>
      <c r="F233" s="268"/>
      <c r="G233" s="268"/>
      <c r="H233" s="271" t="s">
        <v>1155</v>
      </c>
    </row>
    <row r="234" spans="2:8" s="1" customFormat="1" ht="27" customHeight="1">
      <c r="B234" s="256" t="s">
        <v>2390</v>
      </c>
      <c r="C234" s="251" t="s">
        <v>1224</v>
      </c>
      <c r="D234" s="85" t="s">
        <v>1225</v>
      </c>
      <c r="E234" s="4" t="s">
        <v>24</v>
      </c>
      <c r="F234" s="5" t="s">
        <v>420</v>
      </c>
      <c r="G234" s="105">
        <v>96.46</v>
      </c>
      <c r="H234" s="8">
        <f t="shared" si="21"/>
        <v>78566.67</v>
      </c>
    </row>
    <row r="235" spans="2:8" s="212" customFormat="1" ht="15" customHeight="1">
      <c r="B235" s="250" t="s">
        <v>1838</v>
      </c>
      <c r="C235" s="250"/>
      <c r="D235" s="268" t="s">
        <v>1839</v>
      </c>
      <c r="E235" s="268"/>
      <c r="F235" s="268"/>
      <c r="G235" s="268"/>
      <c r="H235" s="271" t="s">
        <v>1155</v>
      </c>
    </row>
    <row r="236" spans="2:8" s="1" customFormat="1" ht="25.5" customHeight="1">
      <c r="B236" s="256" t="s">
        <v>2391</v>
      </c>
      <c r="C236" s="251" t="s">
        <v>2020</v>
      </c>
      <c r="D236" s="214" t="s">
        <v>1840</v>
      </c>
      <c r="E236" s="4" t="s">
        <v>24</v>
      </c>
      <c r="F236" s="5" t="s">
        <v>1841</v>
      </c>
      <c r="G236" s="105">
        <f>CPU!H712</f>
        <v>385.23500000000001</v>
      </c>
      <c r="H236" s="8">
        <f t="shared" ref="H236" si="22">F236*G236</f>
        <v>103050.3625</v>
      </c>
    </row>
    <row r="237" spans="2:8" s="1" customFormat="1" ht="15" customHeight="1">
      <c r="B237" s="256"/>
      <c r="C237" s="7"/>
      <c r="D237" s="274" t="s">
        <v>1172</v>
      </c>
      <c r="E237" s="275"/>
      <c r="F237" s="276"/>
      <c r="G237" s="276"/>
      <c r="H237" s="277">
        <f>SUM(H234:H236)</f>
        <v>181617.0325</v>
      </c>
    </row>
    <row r="238" spans="2:8" s="212" customFormat="1" ht="15" customHeight="1">
      <c r="B238" s="250" t="s">
        <v>421</v>
      </c>
      <c r="C238" s="250"/>
      <c r="D238" s="268" t="s">
        <v>422</v>
      </c>
      <c r="E238" s="268"/>
      <c r="F238" s="268"/>
      <c r="G238" s="268"/>
      <c r="H238" s="271" t="s">
        <v>1155</v>
      </c>
    </row>
    <row r="239" spans="2:8" s="212" customFormat="1" ht="15" customHeight="1">
      <c r="B239" s="250" t="s">
        <v>423</v>
      </c>
      <c r="C239" s="250"/>
      <c r="D239" s="268" t="s">
        <v>424</v>
      </c>
      <c r="E239" s="268"/>
      <c r="F239" s="268"/>
      <c r="G239" s="268"/>
      <c r="H239" s="271" t="s">
        <v>1155</v>
      </c>
    </row>
    <row r="240" spans="2:8" s="1" customFormat="1" ht="38.25">
      <c r="B240" s="256" t="s">
        <v>2392</v>
      </c>
      <c r="C240" s="258" t="s">
        <v>2021</v>
      </c>
      <c r="D240" s="3" t="s">
        <v>425</v>
      </c>
      <c r="E240" s="4" t="s">
        <v>24</v>
      </c>
      <c r="F240" s="5">
        <v>7370.29</v>
      </c>
      <c r="G240" s="105">
        <f>CPU!H720</f>
        <v>122.441</v>
      </c>
      <c r="H240" s="8">
        <f t="shared" ref="H240:H242" si="23">F240*G240</f>
        <v>902425.67789000005</v>
      </c>
    </row>
    <row r="241" spans="2:8" s="1" customFormat="1" ht="51">
      <c r="B241" s="256" t="s">
        <v>2393</v>
      </c>
      <c r="C241" s="258" t="s">
        <v>426</v>
      </c>
      <c r="D241" s="3" t="s">
        <v>427</v>
      </c>
      <c r="E241" s="4" t="s">
        <v>24</v>
      </c>
      <c r="F241" s="5">
        <v>7370.29</v>
      </c>
      <c r="G241" s="105">
        <v>35.78</v>
      </c>
      <c r="H241" s="8">
        <f t="shared" si="23"/>
        <v>263708.97620000003</v>
      </c>
    </row>
    <row r="242" spans="2:8" s="1" customFormat="1" ht="25.5">
      <c r="B242" s="256" t="s">
        <v>2394</v>
      </c>
      <c r="C242" s="280" t="s">
        <v>2215</v>
      </c>
      <c r="D242" s="85" t="s">
        <v>2216</v>
      </c>
      <c r="E242" s="104" t="s">
        <v>24</v>
      </c>
      <c r="F242" s="105">
        <v>420</v>
      </c>
      <c r="G242" s="105">
        <v>69.150000000000006</v>
      </c>
      <c r="H242" s="8">
        <f t="shared" si="23"/>
        <v>29043.000000000004</v>
      </c>
    </row>
    <row r="243" spans="2:8" s="212" customFormat="1" ht="15" customHeight="1">
      <c r="B243" s="256"/>
      <c r="C243" s="258"/>
      <c r="D243" s="274" t="s">
        <v>1173</v>
      </c>
      <c r="E243" s="275"/>
      <c r="F243" s="276"/>
      <c r="G243" s="276"/>
      <c r="H243" s="277">
        <f>SUM(H240:H242)</f>
        <v>1195177.6540900001</v>
      </c>
    </row>
    <row r="244" spans="2:8" s="212" customFormat="1" ht="15" customHeight="1">
      <c r="B244" s="250" t="s">
        <v>428</v>
      </c>
      <c r="C244" s="250"/>
      <c r="D244" s="268" t="s">
        <v>429</v>
      </c>
      <c r="E244" s="268"/>
      <c r="F244" s="268"/>
      <c r="G244" s="268"/>
      <c r="H244" s="271" t="s">
        <v>1155</v>
      </c>
    </row>
    <row r="245" spans="2:8" s="1" customFormat="1" ht="38.25">
      <c r="B245" s="256" t="s">
        <v>2395</v>
      </c>
      <c r="C245" s="258" t="s">
        <v>2022</v>
      </c>
      <c r="D245" s="3" t="s">
        <v>430</v>
      </c>
      <c r="E245" s="4" t="s">
        <v>24</v>
      </c>
      <c r="F245" s="5">
        <v>1968.84</v>
      </c>
      <c r="G245" s="105">
        <f>CPU!H728</f>
        <v>86.462198158351313</v>
      </c>
      <c r="H245" s="8">
        <f t="shared" ref="H245:H250" si="24">F245*G245</f>
        <v>170230.23422208839</v>
      </c>
    </row>
    <row r="246" spans="2:8" s="1" customFormat="1" ht="76.5">
      <c r="B246" s="256" t="s">
        <v>2396</v>
      </c>
      <c r="C246" s="258" t="s">
        <v>431</v>
      </c>
      <c r="D246" s="3" t="s">
        <v>432</v>
      </c>
      <c r="E246" s="4" t="s">
        <v>24</v>
      </c>
      <c r="F246" s="5">
        <v>3751.87</v>
      </c>
      <c r="G246" s="105">
        <v>34.119999999999997</v>
      </c>
      <c r="H246" s="8">
        <f t="shared" si="24"/>
        <v>128013.80439999999</v>
      </c>
    </row>
    <row r="247" spans="2:8" s="1" customFormat="1" ht="51.75" customHeight="1">
      <c r="B247" s="256" t="s">
        <v>2397</v>
      </c>
      <c r="C247" s="258" t="s">
        <v>433</v>
      </c>
      <c r="D247" s="3" t="s">
        <v>434</v>
      </c>
      <c r="E247" s="4" t="s">
        <v>24</v>
      </c>
      <c r="F247" s="5" t="s">
        <v>435</v>
      </c>
      <c r="G247" s="105">
        <v>4.9800000000000004</v>
      </c>
      <c r="H247" s="8">
        <f t="shared" si="24"/>
        <v>7652.268</v>
      </c>
    </row>
    <row r="248" spans="2:8" s="1" customFormat="1" ht="51">
      <c r="B248" s="256" t="s">
        <v>2398</v>
      </c>
      <c r="C248" s="258" t="s">
        <v>436</v>
      </c>
      <c r="D248" s="3" t="s">
        <v>437</v>
      </c>
      <c r="E248" s="4" t="s">
        <v>24</v>
      </c>
      <c r="F248" s="5">
        <v>4730.96</v>
      </c>
      <c r="G248" s="105">
        <v>3.9</v>
      </c>
      <c r="H248" s="8">
        <f t="shared" si="24"/>
        <v>18450.743999999999</v>
      </c>
    </row>
    <row r="249" spans="2:8" s="1" customFormat="1" ht="27" customHeight="1">
      <c r="B249" s="256" t="s">
        <v>2399</v>
      </c>
      <c r="C249" s="280" t="s">
        <v>1222</v>
      </c>
      <c r="D249" s="85" t="s">
        <v>1223</v>
      </c>
      <c r="E249" s="4" t="s">
        <v>24</v>
      </c>
      <c r="F249" s="5">
        <v>1053.45</v>
      </c>
      <c r="G249" s="105">
        <v>60.6</v>
      </c>
      <c r="H249" s="8">
        <f t="shared" si="24"/>
        <v>63839.070000000007</v>
      </c>
    </row>
    <row r="250" spans="2:8" s="1" customFormat="1" ht="63.75">
      <c r="B250" s="256" t="s">
        <v>2400</v>
      </c>
      <c r="C250" s="258" t="s">
        <v>438</v>
      </c>
      <c r="D250" s="3" t="s">
        <v>439</v>
      </c>
      <c r="E250" s="4" t="s">
        <v>24</v>
      </c>
      <c r="F250" s="5">
        <v>2515.69</v>
      </c>
      <c r="G250" s="105">
        <v>36.11</v>
      </c>
      <c r="H250" s="8">
        <f t="shared" si="24"/>
        <v>90841.565900000001</v>
      </c>
    </row>
    <row r="251" spans="2:8" s="212" customFormat="1" ht="15" customHeight="1">
      <c r="B251" s="283"/>
      <c r="C251" s="217"/>
      <c r="D251" s="274" t="s">
        <v>1174</v>
      </c>
      <c r="E251" s="275"/>
      <c r="F251" s="276"/>
      <c r="G251" s="276"/>
      <c r="H251" s="277">
        <f>SUM(H245:H250)</f>
        <v>479027.68652208836</v>
      </c>
    </row>
    <row r="252" spans="2:8" s="1" customFormat="1" ht="15" customHeight="1">
      <c r="B252" s="250" t="s">
        <v>441</v>
      </c>
      <c r="C252" s="250"/>
      <c r="D252" s="281" t="s">
        <v>442</v>
      </c>
      <c r="E252" s="281"/>
      <c r="F252" s="281"/>
      <c r="G252" s="281"/>
      <c r="H252" s="282" t="s">
        <v>1155</v>
      </c>
    </row>
    <row r="253" spans="2:8" s="1" customFormat="1" ht="25.5">
      <c r="B253" s="256" t="s">
        <v>2401</v>
      </c>
      <c r="C253" s="251" t="s">
        <v>443</v>
      </c>
      <c r="D253" s="3" t="s">
        <v>444</v>
      </c>
      <c r="E253" s="4" t="s">
        <v>24</v>
      </c>
      <c r="F253" s="5" t="s">
        <v>445</v>
      </c>
      <c r="G253" s="105">
        <v>64.38</v>
      </c>
      <c r="H253" s="8">
        <f t="shared" ref="H253:H282" si="25">F253*G253</f>
        <v>172436.6796</v>
      </c>
    </row>
    <row r="254" spans="2:8" s="1" customFormat="1" ht="25.5">
      <c r="B254" s="256" t="s">
        <v>2402</v>
      </c>
      <c r="C254" s="251" t="s">
        <v>446</v>
      </c>
      <c r="D254" s="3" t="s">
        <v>447</v>
      </c>
      <c r="E254" s="4" t="s">
        <v>15</v>
      </c>
      <c r="F254" s="5" t="s">
        <v>448</v>
      </c>
      <c r="G254" s="105">
        <v>11.71</v>
      </c>
      <c r="H254" s="8">
        <f t="shared" si="25"/>
        <v>14114.063</v>
      </c>
    </row>
    <row r="255" spans="2:8" s="212" customFormat="1" ht="15" customHeight="1">
      <c r="B255" s="256"/>
      <c r="C255" s="251"/>
      <c r="D255" s="274" t="s">
        <v>1175</v>
      </c>
      <c r="E255" s="275"/>
      <c r="F255" s="276"/>
      <c r="G255" s="276"/>
      <c r="H255" s="277">
        <f>SUM(H253:H254)</f>
        <v>186550.7426</v>
      </c>
    </row>
    <row r="256" spans="2:8" s="1" customFormat="1" ht="15" customHeight="1">
      <c r="B256" s="250" t="s">
        <v>449</v>
      </c>
      <c r="C256" s="250"/>
      <c r="D256" s="281" t="s">
        <v>450</v>
      </c>
      <c r="E256" s="281"/>
      <c r="F256" s="281"/>
      <c r="G256" s="281"/>
      <c r="H256" s="282" t="s">
        <v>1155</v>
      </c>
    </row>
    <row r="257" spans="2:8" s="1" customFormat="1" ht="25.5">
      <c r="B257" s="256" t="s">
        <v>2403</v>
      </c>
      <c r="C257" s="251" t="s">
        <v>2023</v>
      </c>
      <c r="D257" s="3" t="s">
        <v>451</v>
      </c>
      <c r="E257" s="4" t="s">
        <v>24</v>
      </c>
      <c r="F257" s="5">
        <v>5164.4799999999996</v>
      </c>
      <c r="G257" s="105">
        <f>CPU!H734</f>
        <v>21.9949674</v>
      </c>
      <c r="H257" s="8">
        <f t="shared" si="25"/>
        <v>113592.56923795199</v>
      </c>
    </row>
    <row r="258" spans="2:8" s="1" customFormat="1" ht="25.5">
      <c r="B258" s="256" t="s">
        <v>2404</v>
      </c>
      <c r="C258" s="251" t="s">
        <v>2189</v>
      </c>
      <c r="D258" s="3" t="s">
        <v>452</v>
      </c>
      <c r="E258" s="4" t="s">
        <v>24</v>
      </c>
      <c r="F258" s="5" t="s">
        <v>453</v>
      </c>
      <c r="G258" s="105">
        <f>CPU!H741</f>
        <v>38.961640000000003</v>
      </c>
      <c r="H258" s="8">
        <f t="shared" si="25"/>
        <v>16363.888800000001</v>
      </c>
    </row>
    <row r="259" spans="2:8" s="1" customFormat="1" ht="25.5">
      <c r="B259" s="256" t="s">
        <v>2405</v>
      </c>
      <c r="C259" s="251" t="s">
        <v>2217</v>
      </c>
      <c r="D259" s="214" t="s">
        <v>2218</v>
      </c>
      <c r="E259" s="4" t="s">
        <v>24</v>
      </c>
      <c r="F259" s="5" t="s">
        <v>454</v>
      </c>
      <c r="G259" s="105">
        <v>17.21</v>
      </c>
      <c r="H259" s="8">
        <f t="shared" si="25"/>
        <v>4004.5949000000001</v>
      </c>
    </row>
    <row r="260" spans="2:8" s="1" customFormat="1" ht="38.25">
      <c r="B260" s="256" t="s">
        <v>2406</v>
      </c>
      <c r="C260" s="251" t="s">
        <v>2837</v>
      </c>
      <c r="D260" s="3" t="s">
        <v>455</v>
      </c>
      <c r="E260" s="4" t="s">
        <v>456</v>
      </c>
      <c r="F260" s="5" t="s">
        <v>457</v>
      </c>
      <c r="G260" s="105">
        <v>9.35</v>
      </c>
      <c r="H260" s="8">
        <f t="shared" si="25"/>
        <v>3534.2999999999997</v>
      </c>
    </row>
    <row r="261" spans="2:8" s="1" customFormat="1" ht="25.5">
      <c r="B261" s="256" t="s">
        <v>2407</v>
      </c>
      <c r="C261" s="251" t="s">
        <v>458</v>
      </c>
      <c r="D261" s="3" t="s">
        <v>459</v>
      </c>
      <c r="E261" s="4" t="s">
        <v>24</v>
      </c>
      <c r="F261" s="5" t="s">
        <v>460</v>
      </c>
      <c r="G261" s="105">
        <v>15.82</v>
      </c>
      <c r="H261" s="8">
        <f t="shared" si="25"/>
        <v>45833.5458</v>
      </c>
    </row>
    <row r="262" spans="2:8" s="1" customFormat="1" ht="25.5">
      <c r="B262" s="256" t="s">
        <v>2408</v>
      </c>
      <c r="C262" s="251" t="s">
        <v>461</v>
      </c>
      <c r="D262" s="3" t="s">
        <v>462</v>
      </c>
      <c r="E262" s="4" t="s">
        <v>24</v>
      </c>
      <c r="F262" s="5">
        <v>2659.12</v>
      </c>
      <c r="G262" s="105">
        <v>13.96</v>
      </c>
      <c r="H262" s="8">
        <f t="shared" si="25"/>
        <v>37121.315199999997</v>
      </c>
    </row>
    <row r="263" spans="2:8" s="1" customFormat="1" ht="25.5">
      <c r="B263" s="256" t="s">
        <v>2409</v>
      </c>
      <c r="C263" s="251" t="s">
        <v>463</v>
      </c>
      <c r="D263" s="3" t="s">
        <v>464</v>
      </c>
      <c r="E263" s="4" t="s">
        <v>24</v>
      </c>
      <c r="F263" s="5" t="s">
        <v>460</v>
      </c>
      <c r="G263" s="105">
        <v>20.67</v>
      </c>
      <c r="H263" s="8">
        <f t="shared" si="25"/>
        <v>59884.917300000008</v>
      </c>
    </row>
    <row r="264" spans="2:8" s="1" customFormat="1" ht="27" customHeight="1">
      <c r="B264" s="256" t="s">
        <v>2410</v>
      </c>
      <c r="C264" s="251" t="s">
        <v>2190</v>
      </c>
      <c r="D264" s="3" t="s">
        <v>1843</v>
      </c>
      <c r="E264" s="4" t="s">
        <v>24</v>
      </c>
      <c r="F264" s="5">
        <v>2521.4299999999998</v>
      </c>
      <c r="G264" s="105">
        <f>CPU!H750</f>
        <v>47.12086</v>
      </c>
      <c r="H264" s="8">
        <f t="shared" si="25"/>
        <v>118811.95002979999</v>
      </c>
    </row>
    <row r="265" spans="2:8" s="1" customFormat="1" ht="25.5" customHeight="1">
      <c r="B265" s="256" t="s">
        <v>2411</v>
      </c>
      <c r="C265" s="251" t="s">
        <v>465</v>
      </c>
      <c r="D265" s="3" t="s">
        <v>466</v>
      </c>
      <c r="E265" s="4" t="s">
        <v>24</v>
      </c>
      <c r="F265" s="5" t="s">
        <v>440</v>
      </c>
      <c r="G265" s="105">
        <v>30.24</v>
      </c>
      <c r="H265" s="8">
        <f t="shared" si="25"/>
        <v>60566.788799999995</v>
      </c>
    </row>
    <row r="266" spans="2:8" s="1" customFormat="1" ht="15" customHeight="1">
      <c r="B266" s="256"/>
      <c r="C266" s="7"/>
      <c r="D266" s="274" t="s">
        <v>1176</v>
      </c>
      <c r="E266" s="275"/>
      <c r="F266" s="276"/>
      <c r="G266" s="284"/>
      <c r="H266" s="277">
        <f>SUM(H257:H265)</f>
        <v>459713.87006775197</v>
      </c>
    </row>
    <row r="267" spans="2:8" s="212" customFormat="1" ht="15" customHeight="1">
      <c r="B267" s="250" t="s">
        <v>467</v>
      </c>
      <c r="C267" s="250"/>
      <c r="D267" s="268" t="s">
        <v>468</v>
      </c>
      <c r="E267" s="268"/>
      <c r="F267" s="268"/>
      <c r="G267" s="268"/>
      <c r="H267" s="271" t="s">
        <v>1155</v>
      </c>
    </row>
    <row r="268" spans="2:8" s="1" customFormat="1" ht="25.5">
      <c r="B268" s="256" t="s">
        <v>2412</v>
      </c>
      <c r="C268" s="251" t="s">
        <v>2026</v>
      </c>
      <c r="D268" s="214" t="s">
        <v>469</v>
      </c>
      <c r="E268" s="4" t="s">
        <v>24</v>
      </c>
      <c r="F268" s="5">
        <v>343.57</v>
      </c>
      <c r="G268" s="105">
        <f>CPU!H765</f>
        <v>89.870844734299993</v>
      </c>
      <c r="H268" s="8">
        <f t="shared" si="25"/>
        <v>30876.926125363447</v>
      </c>
    </row>
    <row r="269" spans="2:8" s="212" customFormat="1" ht="15" customHeight="1">
      <c r="B269" s="256"/>
      <c r="C269" s="217"/>
      <c r="D269" s="274" t="s">
        <v>1177</v>
      </c>
      <c r="E269" s="275"/>
      <c r="F269" s="276"/>
      <c r="G269" s="276"/>
      <c r="H269" s="277">
        <f>SUM(H268)</f>
        <v>30876.926125363447</v>
      </c>
    </row>
    <row r="270" spans="2:8" s="212" customFormat="1" ht="15" customHeight="1">
      <c r="B270" s="250" t="s">
        <v>470</v>
      </c>
      <c r="C270" s="250"/>
      <c r="D270" s="268" t="s">
        <v>471</v>
      </c>
      <c r="E270" s="268"/>
      <c r="F270" s="268"/>
      <c r="G270" s="268"/>
      <c r="H270" s="271" t="s">
        <v>1155</v>
      </c>
    </row>
    <row r="271" spans="2:8" s="1" customFormat="1" ht="25.5">
      <c r="B271" s="256" t="s">
        <v>2413</v>
      </c>
      <c r="C271" s="251" t="s">
        <v>2028</v>
      </c>
      <c r="D271" s="214" t="s">
        <v>473</v>
      </c>
      <c r="E271" s="4" t="s">
        <v>24</v>
      </c>
      <c r="F271" s="5" t="s">
        <v>474</v>
      </c>
      <c r="G271" s="105">
        <f>CPU!H770</f>
        <v>12.887285713279999</v>
      </c>
      <c r="H271" s="8">
        <f t="shared" si="25"/>
        <v>53361.610715835697</v>
      </c>
    </row>
    <row r="272" spans="2:8" s="1" customFormat="1" ht="25.5">
      <c r="B272" s="256" t="s">
        <v>2414</v>
      </c>
      <c r="C272" s="251" t="s">
        <v>2029</v>
      </c>
      <c r="D272" s="3" t="s">
        <v>475</v>
      </c>
      <c r="E272" s="4" t="s">
        <v>24</v>
      </c>
      <c r="F272" s="5" t="s">
        <v>476</v>
      </c>
      <c r="G272" s="105">
        <f>CPU!H776</f>
        <v>18.139482999999998</v>
      </c>
      <c r="H272" s="8">
        <f t="shared" si="25"/>
        <v>6403.7816834899986</v>
      </c>
    </row>
    <row r="273" spans="2:8" s="1" customFormat="1" ht="51">
      <c r="B273" s="256" t="s">
        <v>2415</v>
      </c>
      <c r="C273" s="251" t="s">
        <v>2031</v>
      </c>
      <c r="D273" s="103" t="s">
        <v>1844</v>
      </c>
      <c r="E273" s="4" t="s">
        <v>24</v>
      </c>
      <c r="F273" s="5">
        <v>3623</v>
      </c>
      <c r="G273" s="105">
        <f>CPU!H784</f>
        <v>105.77906999999999</v>
      </c>
      <c r="H273" s="8">
        <f t="shared" si="25"/>
        <v>383237.57060999994</v>
      </c>
    </row>
    <row r="274" spans="2:8" s="1" customFormat="1" ht="51">
      <c r="B274" s="256" t="s">
        <v>2416</v>
      </c>
      <c r="C274" s="251" t="s">
        <v>2032</v>
      </c>
      <c r="D274" s="103" t="s">
        <v>1845</v>
      </c>
      <c r="E274" s="4" t="s">
        <v>24</v>
      </c>
      <c r="F274" s="5" t="s">
        <v>477</v>
      </c>
      <c r="G274" s="105">
        <f>CPU!H792</f>
        <v>69.313950000000006</v>
      </c>
      <c r="H274" s="8">
        <f t="shared" si="25"/>
        <v>49973.971671000007</v>
      </c>
    </row>
    <row r="275" spans="2:8" s="1" customFormat="1" ht="51">
      <c r="B275" s="256" t="s">
        <v>2417</v>
      </c>
      <c r="C275" s="251" t="s">
        <v>2033</v>
      </c>
      <c r="D275" s="3" t="s">
        <v>478</v>
      </c>
      <c r="E275" s="4" t="s">
        <v>24</v>
      </c>
      <c r="F275" s="5" t="s">
        <v>479</v>
      </c>
      <c r="G275" s="105">
        <f>CPU!H799</f>
        <v>44.018099999999997</v>
      </c>
      <c r="H275" s="8">
        <f t="shared" si="25"/>
        <v>44908.145981999995</v>
      </c>
    </row>
    <row r="276" spans="2:8" s="1" customFormat="1" ht="25.5">
      <c r="B276" s="256" t="s">
        <v>2418</v>
      </c>
      <c r="C276" s="251" t="s">
        <v>2034</v>
      </c>
      <c r="D276" s="3" t="s">
        <v>480</v>
      </c>
      <c r="E276" s="4" t="s">
        <v>24</v>
      </c>
      <c r="F276" s="5" t="s">
        <v>477</v>
      </c>
      <c r="G276" s="105">
        <f>CPU!H807</f>
        <v>127.71393548164963</v>
      </c>
      <c r="H276" s="8">
        <f t="shared" si="25"/>
        <v>92079.193203559757</v>
      </c>
    </row>
    <row r="277" spans="2:8" s="1" customFormat="1" ht="51">
      <c r="B277" s="256" t="s">
        <v>2419</v>
      </c>
      <c r="C277" s="251" t="s">
        <v>481</v>
      </c>
      <c r="D277" s="3" t="s">
        <v>482</v>
      </c>
      <c r="E277" s="4" t="s">
        <v>24</v>
      </c>
      <c r="F277" s="5" t="s">
        <v>483</v>
      </c>
      <c r="G277" s="105">
        <v>51.73</v>
      </c>
      <c r="H277" s="8">
        <f t="shared" si="25"/>
        <v>275990.93060000002</v>
      </c>
    </row>
    <row r="278" spans="2:8" s="1" customFormat="1" ht="38.25">
      <c r="B278" s="256" t="s">
        <v>2420</v>
      </c>
      <c r="C278" s="251" t="s">
        <v>484</v>
      </c>
      <c r="D278" s="3" t="s">
        <v>485</v>
      </c>
      <c r="E278" s="4" t="s">
        <v>24</v>
      </c>
      <c r="F278" s="5" t="s">
        <v>486</v>
      </c>
      <c r="G278" s="105">
        <v>86.05</v>
      </c>
      <c r="H278" s="8">
        <f t="shared" si="25"/>
        <v>102793.609</v>
      </c>
    </row>
    <row r="279" spans="2:8" s="1" customFormat="1" ht="38.25">
      <c r="B279" s="256" t="s">
        <v>2421</v>
      </c>
      <c r="C279" s="251" t="s">
        <v>487</v>
      </c>
      <c r="D279" s="3" t="s">
        <v>488</v>
      </c>
      <c r="E279" s="4" t="s">
        <v>24</v>
      </c>
      <c r="F279" s="5" t="s">
        <v>474</v>
      </c>
      <c r="G279" s="105">
        <v>158.76</v>
      </c>
      <c r="H279" s="8">
        <f t="shared" si="25"/>
        <v>657368.00640000007</v>
      </c>
    </row>
    <row r="280" spans="2:8" s="1" customFormat="1" ht="27" customHeight="1">
      <c r="B280" s="256" t="s">
        <v>2422</v>
      </c>
      <c r="C280" s="251" t="s">
        <v>489</v>
      </c>
      <c r="D280" s="3" t="s">
        <v>490</v>
      </c>
      <c r="E280" s="4" t="s">
        <v>24</v>
      </c>
      <c r="F280" s="5" t="s">
        <v>491</v>
      </c>
      <c r="G280" s="105">
        <v>27.19</v>
      </c>
      <c r="H280" s="8">
        <f t="shared" si="25"/>
        <v>28166.121000000003</v>
      </c>
    </row>
    <row r="281" spans="2:8" s="1" customFormat="1" ht="38.25">
      <c r="B281" s="256" t="s">
        <v>2423</v>
      </c>
      <c r="C281" s="251" t="s">
        <v>492</v>
      </c>
      <c r="D281" s="3" t="s">
        <v>493</v>
      </c>
      <c r="E281" s="4" t="s">
        <v>24</v>
      </c>
      <c r="F281" s="5" t="s">
        <v>494</v>
      </c>
      <c r="G281" s="105">
        <v>48.51</v>
      </c>
      <c r="H281" s="8">
        <f t="shared" si="25"/>
        <v>93315.291299999997</v>
      </c>
    </row>
    <row r="282" spans="2:8" s="1" customFormat="1" ht="25.5">
      <c r="B282" s="256" t="s">
        <v>2424</v>
      </c>
      <c r="C282" s="251" t="s">
        <v>177</v>
      </c>
      <c r="D282" s="3" t="s">
        <v>178</v>
      </c>
      <c r="E282" s="4" t="s">
        <v>24</v>
      </c>
      <c r="F282" s="5" t="s">
        <v>495</v>
      </c>
      <c r="G282" s="105">
        <v>34.1</v>
      </c>
      <c r="H282" s="8">
        <f t="shared" si="25"/>
        <v>12081.630000000001</v>
      </c>
    </row>
    <row r="283" spans="2:8" s="212" customFormat="1" ht="15" customHeight="1">
      <c r="B283" s="256"/>
      <c r="C283" s="217"/>
      <c r="D283" s="274" t="s">
        <v>1178</v>
      </c>
      <c r="E283" s="275"/>
      <c r="F283" s="276"/>
      <c r="G283" s="276"/>
      <c r="H283" s="277">
        <f>SUM(H271:H282)</f>
        <v>1799679.8621658853</v>
      </c>
    </row>
    <row r="284" spans="2:8" s="212" customFormat="1" ht="15" customHeight="1">
      <c r="B284" s="250" t="s">
        <v>496</v>
      </c>
      <c r="C284" s="250"/>
      <c r="D284" s="268" t="s">
        <v>497</v>
      </c>
      <c r="E284" s="268"/>
      <c r="F284" s="268"/>
      <c r="G284" s="268"/>
      <c r="H284" s="271" t="s">
        <v>1155</v>
      </c>
    </row>
    <row r="285" spans="2:8" s="212" customFormat="1" ht="15" customHeight="1">
      <c r="B285" s="250" t="s">
        <v>498</v>
      </c>
      <c r="C285" s="250"/>
      <c r="D285" s="268" t="s">
        <v>499</v>
      </c>
      <c r="E285" s="268"/>
      <c r="F285" s="268"/>
      <c r="G285" s="268"/>
      <c r="H285" s="271" t="s">
        <v>1155</v>
      </c>
    </row>
    <row r="286" spans="2:8" s="1" customFormat="1" ht="25.5">
      <c r="B286" s="256" t="s">
        <v>2425</v>
      </c>
      <c r="C286" s="251" t="s">
        <v>2038</v>
      </c>
      <c r="D286" s="214" t="s">
        <v>500</v>
      </c>
      <c r="E286" s="4" t="s">
        <v>15</v>
      </c>
      <c r="F286" s="5" t="s">
        <v>501</v>
      </c>
      <c r="G286" s="105">
        <f>CPU!H815</f>
        <v>29.766826701319999</v>
      </c>
      <c r="H286" s="8">
        <f t="shared" ref="H286:H311" si="26">F286*G286</f>
        <v>56748.966764731515</v>
      </c>
    </row>
    <row r="287" spans="2:8" s="212" customFormat="1" ht="15" customHeight="1">
      <c r="B287" s="250" t="s">
        <v>502</v>
      </c>
      <c r="C287" s="250"/>
      <c r="D287" s="268" t="s">
        <v>503</v>
      </c>
      <c r="E287" s="268"/>
      <c r="F287" s="268"/>
      <c r="G287" s="268"/>
      <c r="H287" s="271" t="s">
        <v>1155</v>
      </c>
    </row>
    <row r="288" spans="2:8" s="1" customFormat="1" ht="25.5">
      <c r="B288" s="256" t="s">
        <v>2426</v>
      </c>
      <c r="C288" s="251" t="s">
        <v>1466</v>
      </c>
      <c r="D288" s="103" t="s">
        <v>1467</v>
      </c>
      <c r="E288" s="106" t="s">
        <v>15</v>
      </c>
      <c r="F288" s="105">
        <v>322.56</v>
      </c>
      <c r="G288" s="105">
        <v>98.76</v>
      </c>
      <c r="H288" s="8">
        <f t="shared" si="26"/>
        <v>31856.025600000001</v>
      </c>
    </row>
    <row r="289" spans="2:8" s="212" customFormat="1" ht="15" customHeight="1">
      <c r="B289" s="250" t="s">
        <v>504</v>
      </c>
      <c r="C289" s="250"/>
      <c r="D289" s="268" t="s">
        <v>505</v>
      </c>
      <c r="E289" s="268"/>
      <c r="F289" s="268"/>
      <c r="G289" s="268"/>
      <c r="H289" s="271" t="s">
        <v>1155</v>
      </c>
    </row>
    <row r="290" spans="2:8" s="1" customFormat="1" ht="25.5">
      <c r="B290" s="256" t="s">
        <v>2427</v>
      </c>
      <c r="C290" s="251" t="s">
        <v>2039</v>
      </c>
      <c r="D290" s="3" t="s">
        <v>506</v>
      </c>
      <c r="E290" s="4" t="s">
        <v>507</v>
      </c>
      <c r="F290" s="5" t="s">
        <v>508</v>
      </c>
      <c r="G290" s="105">
        <f>CPU!H823</f>
        <v>95.607746419120005</v>
      </c>
      <c r="H290" s="8">
        <f t="shared" si="26"/>
        <v>18039.269594359565</v>
      </c>
    </row>
    <row r="291" spans="2:8" s="1" customFormat="1" ht="25.5">
      <c r="B291" s="256" t="s">
        <v>2428</v>
      </c>
      <c r="C291" s="251" t="s">
        <v>2040</v>
      </c>
      <c r="D291" s="3" t="s">
        <v>509</v>
      </c>
      <c r="E291" s="4" t="s">
        <v>15</v>
      </c>
      <c r="F291" s="5" t="s">
        <v>510</v>
      </c>
      <c r="G291" s="105">
        <f>CPU!H829</f>
        <v>149.49431228749998</v>
      </c>
      <c r="H291" s="8">
        <f t="shared" si="26"/>
        <v>26231.76697708762</v>
      </c>
    </row>
    <row r="292" spans="2:8" s="1" customFormat="1" ht="15" customHeight="1">
      <c r="B292" s="256"/>
      <c r="C292" s="251"/>
      <c r="D292" s="274" t="s">
        <v>1179</v>
      </c>
      <c r="E292" s="275"/>
      <c r="F292" s="276"/>
      <c r="G292" s="284"/>
      <c r="H292" s="277">
        <f>SUM(H286:H291)</f>
        <v>132876.02893617869</v>
      </c>
    </row>
    <row r="293" spans="2:8" s="212" customFormat="1" ht="15" customHeight="1">
      <c r="B293" s="250" t="s">
        <v>511</v>
      </c>
      <c r="C293" s="250"/>
      <c r="D293" s="268" t="s">
        <v>512</v>
      </c>
      <c r="E293" s="268"/>
      <c r="F293" s="268"/>
      <c r="G293" s="268"/>
      <c r="H293" s="271" t="s">
        <v>1155</v>
      </c>
    </row>
    <row r="294" spans="2:8" s="1" customFormat="1" ht="38.25">
      <c r="B294" s="256" t="s">
        <v>2429</v>
      </c>
      <c r="C294" s="251" t="s">
        <v>2041</v>
      </c>
      <c r="D294" s="3" t="s">
        <v>2042</v>
      </c>
      <c r="E294" s="4" t="s">
        <v>15</v>
      </c>
      <c r="F294" s="5" t="s">
        <v>513</v>
      </c>
      <c r="G294" s="105">
        <f>CPU!H839</f>
        <v>593.2413415123001</v>
      </c>
      <c r="H294" s="8">
        <f t="shared" si="26"/>
        <v>30018.011880522386</v>
      </c>
    </row>
    <row r="295" spans="2:8" s="1" customFormat="1" ht="43.5" customHeight="1">
      <c r="B295" s="256" t="s">
        <v>2430</v>
      </c>
      <c r="C295" s="251" t="s">
        <v>2043</v>
      </c>
      <c r="D295" s="3" t="s">
        <v>1848</v>
      </c>
      <c r="E295" s="4" t="s">
        <v>15</v>
      </c>
      <c r="F295" s="5">
        <v>49</v>
      </c>
      <c r="G295" s="105">
        <f>CPU!H848</f>
        <v>556.95704942407997</v>
      </c>
      <c r="H295" s="8">
        <f t="shared" si="26"/>
        <v>27290.895421779918</v>
      </c>
    </row>
    <row r="296" spans="2:8" s="1" customFormat="1" ht="29.25" customHeight="1">
      <c r="B296" s="256" t="s">
        <v>2431</v>
      </c>
      <c r="C296" s="251" t="s">
        <v>2044</v>
      </c>
      <c r="D296" s="85" t="s">
        <v>1849</v>
      </c>
      <c r="E296" s="102" t="s">
        <v>37</v>
      </c>
      <c r="F296" s="105">
        <v>1</v>
      </c>
      <c r="G296" s="285">
        <f>CPU!H858</f>
        <v>2269.2143790000005</v>
      </c>
      <c r="H296" s="8">
        <f t="shared" si="26"/>
        <v>2269.2143790000005</v>
      </c>
    </row>
    <row r="297" spans="2:8" s="1" customFormat="1" ht="29.25" customHeight="1">
      <c r="B297" s="256" t="s">
        <v>2432</v>
      </c>
      <c r="C297" s="251" t="s">
        <v>2045</v>
      </c>
      <c r="D297" s="85" t="s">
        <v>1850</v>
      </c>
      <c r="E297" s="102" t="s">
        <v>37</v>
      </c>
      <c r="F297" s="105">
        <v>1</v>
      </c>
      <c r="G297" s="105">
        <f>CPU!H867</f>
        <v>3144.6116519999996</v>
      </c>
      <c r="H297" s="8">
        <f t="shared" si="26"/>
        <v>3144.6116519999996</v>
      </c>
    </row>
    <row r="298" spans="2:8" s="1" customFormat="1" ht="29.25" customHeight="1">
      <c r="B298" s="256" t="s">
        <v>2433</v>
      </c>
      <c r="C298" s="251" t="s">
        <v>2046</v>
      </c>
      <c r="D298" s="85" t="s">
        <v>1851</v>
      </c>
      <c r="E298" s="102" t="s">
        <v>37</v>
      </c>
      <c r="F298" s="105">
        <v>1</v>
      </c>
      <c r="G298" s="105">
        <f>CPU!H877</f>
        <v>2801.8355590000001</v>
      </c>
      <c r="H298" s="8">
        <f t="shared" si="26"/>
        <v>2801.8355590000001</v>
      </c>
    </row>
    <row r="299" spans="2:8" s="1" customFormat="1" ht="24.75" customHeight="1">
      <c r="B299" s="256" t="s">
        <v>2434</v>
      </c>
      <c r="C299" s="251" t="s">
        <v>2047</v>
      </c>
      <c r="D299" s="85" t="s">
        <v>1852</v>
      </c>
      <c r="E299" s="102" t="s">
        <v>37</v>
      </c>
      <c r="F299" s="105">
        <v>1</v>
      </c>
      <c r="G299" s="105">
        <f>CPU!H887</f>
        <v>6398.880470000001</v>
      </c>
      <c r="H299" s="8">
        <f t="shared" si="26"/>
        <v>6398.880470000001</v>
      </c>
    </row>
    <row r="300" spans="2:8" s="1" customFormat="1" ht="27.75" customHeight="1">
      <c r="B300" s="256" t="s">
        <v>2435</v>
      </c>
      <c r="C300" s="251" t="s">
        <v>2048</v>
      </c>
      <c r="D300" s="85" t="s">
        <v>1853</v>
      </c>
      <c r="E300" s="102" t="s">
        <v>37</v>
      </c>
      <c r="F300" s="105">
        <v>1</v>
      </c>
      <c r="G300" s="105">
        <f>CPU!H897</f>
        <v>5585.8875179999995</v>
      </c>
      <c r="H300" s="8">
        <f t="shared" si="26"/>
        <v>5585.8875179999995</v>
      </c>
    </row>
    <row r="301" spans="2:8" s="212" customFormat="1" ht="15" customHeight="1">
      <c r="B301" s="256"/>
      <c r="C301" s="251"/>
      <c r="D301" s="274" t="s">
        <v>1180</v>
      </c>
      <c r="E301" s="275"/>
      <c r="F301" s="276"/>
      <c r="G301" s="284"/>
      <c r="H301" s="277">
        <f>SUM(H294:H300)</f>
        <v>77509.336880302304</v>
      </c>
    </row>
    <row r="302" spans="2:8" s="212" customFormat="1" ht="15" customHeight="1">
      <c r="B302" s="250" t="s">
        <v>514</v>
      </c>
      <c r="C302" s="250"/>
      <c r="D302" s="268" t="s">
        <v>515</v>
      </c>
      <c r="E302" s="268"/>
      <c r="F302" s="268"/>
      <c r="G302" s="268"/>
      <c r="H302" s="271" t="s">
        <v>1155</v>
      </c>
    </row>
    <row r="303" spans="2:8" s="1" customFormat="1" ht="17.100000000000001" customHeight="1">
      <c r="B303" s="256" t="s">
        <v>2436</v>
      </c>
      <c r="C303" s="251" t="s">
        <v>517</v>
      </c>
      <c r="D303" s="214" t="s">
        <v>518</v>
      </c>
      <c r="E303" s="4" t="s">
        <v>37</v>
      </c>
      <c r="F303" s="5" t="s">
        <v>289</v>
      </c>
      <c r="G303" s="105">
        <f>73.34*1.1325</f>
        <v>83.057550000000006</v>
      </c>
      <c r="H303" s="8">
        <f t="shared" si="26"/>
        <v>1827.2661000000001</v>
      </c>
    </row>
    <row r="304" spans="2:8" s="1" customFormat="1" ht="17.100000000000001" customHeight="1">
      <c r="B304" s="256" t="s">
        <v>2437</v>
      </c>
      <c r="C304" s="251" t="s">
        <v>519</v>
      </c>
      <c r="D304" s="214" t="s">
        <v>520</v>
      </c>
      <c r="E304" s="4" t="s">
        <v>37</v>
      </c>
      <c r="F304" s="5" t="s">
        <v>25</v>
      </c>
      <c r="G304" s="105">
        <v>26.45</v>
      </c>
      <c r="H304" s="8">
        <f t="shared" si="26"/>
        <v>714.15</v>
      </c>
    </row>
    <row r="305" spans="2:8" s="1" customFormat="1" ht="17.100000000000001" customHeight="1">
      <c r="B305" s="256" t="s">
        <v>2438</v>
      </c>
      <c r="C305" s="251" t="s">
        <v>521</v>
      </c>
      <c r="D305" s="214" t="s">
        <v>522</v>
      </c>
      <c r="E305" s="4" t="s">
        <v>37</v>
      </c>
      <c r="F305" s="5" t="s">
        <v>523</v>
      </c>
      <c r="G305" s="105">
        <v>42.67</v>
      </c>
      <c r="H305" s="8">
        <f t="shared" si="26"/>
        <v>3882.9700000000003</v>
      </c>
    </row>
    <row r="306" spans="2:8" s="212" customFormat="1" ht="15" customHeight="1">
      <c r="B306" s="256"/>
      <c r="C306" s="252"/>
      <c r="D306" s="274" t="s">
        <v>1181</v>
      </c>
      <c r="E306" s="275"/>
      <c r="F306" s="276"/>
      <c r="G306" s="276"/>
      <c r="H306" s="277">
        <f>SUM(H303:H305)</f>
        <v>6424.3860999999997</v>
      </c>
    </row>
    <row r="307" spans="2:8" s="212" customFormat="1" ht="15" customHeight="1">
      <c r="B307" s="250" t="s">
        <v>524</v>
      </c>
      <c r="C307" s="250"/>
      <c r="D307" s="268" t="s">
        <v>525</v>
      </c>
      <c r="E307" s="268"/>
      <c r="F307" s="268"/>
      <c r="G307" s="268"/>
      <c r="H307" s="271" t="s">
        <v>1155</v>
      </c>
    </row>
    <row r="308" spans="2:8" s="1" customFormat="1" ht="25.5">
      <c r="B308" s="256" t="s">
        <v>2439</v>
      </c>
      <c r="C308" s="251" t="s">
        <v>526</v>
      </c>
      <c r="D308" s="3" t="s">
        <v>527</v>
      </c>
      <c r="E308" s="4" t="s">
        <v>24</v>
      </c>
      <c r="F308" s="5" t="s">
        <v>528</v>
      </c>
      <c r="G308" s="105">
        <v>20.12</v>
      </c>
      <c r="H308" s="8">
        <f t="shared" si="26"/>
        <v>18027.52</v>
      </c>
    </row>
    <row r="309" spans="2:8" s="1" customFormat="1" ht="17.25" customHeight="1">
      <c r="B309" s="256" t="s">
        <v>2440</v>
      </c>
      <c r="C309" s="251" t="s">
        <v>529</v>
      </c>
      <c r="D309" s="214" t="s">
        <v>530</v>
      </c>
      <c r="E309" s="4" t="s">
        <v>24</v>
      </c>
      <c r="F309" s="5">
        <v>8620</v>
      </c>
      <c r="G309" s="105">
        <v>13.7</v>
      </c>
      <c r="H309" s="8">
        <f t="shared" si="26"/>
        <v>118094</v>
      </c>
    </row>
    <row r="310" spans="2:8" s="1" customFormat="1" ht="24.75" customHeight="1">
      <c r="B310" s="256" t="s">
        <v>2441</v>
      </c>
      <c r="C310" s="251" t="s">
        <v>1929</v>
      </c>
      <c r="D310" s="3" t="s">
        <v>1930</v>
      </c>
      <c r="E310" s="4" t="s">
        <v>37</v>
      </c>
      <c r="F310" s="5">
        <v>34</v>
      </c>
      <c r="G310" s="105">
        <f>107.26*1.1325</f>
        <v>121.47195000000001</v>
      </c>
      <c r="H310" s="8">
        <f t="shared" si="26"/>
        <v>4130.0463</v>
      </c>
    </row>
    <row r="311" spans="2:8" s="1" customFormat="1" ht="27.75" customHeight="1">
      <c r="B311" s="256" t="s">
        <v>2442</v>
      </c>
      <c r="C311" s="251" t="s">
        <v>1931</v>
      </c>
      <c r="D311" s="3" t="s">
        <v>1932</v>
      </c>
      <c r="E311" s="4" t="s">
        <v>37</v>
      </c>
      <c r="F311" s="5">
        <v>34</v>
      </c>
      <c r="G311" s="105">
        <v>126.14</v>
      </c>
      <c r="H311" s="8">
        <f t="shared" si="26"/>
        <v>4288.76</v>
      </c>
    </row>
    <row r="312" spans="2:8" s="212" customFormat="1" ht="15" customHeight="1">
      <c r="B312" s="256"/>
      <c r="C312" s="251"/>
      <c r="D312" s="274" t="s">
        <v>1182</v>
      </c>
      <c r="E312" s="275"/>
      <c r="F312" s="276"/>
      <c r="G312" s="276"/>
      <c r="H312" s="277">
        <f>SUM(H308:H311)</f>
        <v>144540.32629999999</v>
      </c>
    </row>
    <row r="313" spans="2:8" s="212" customFormat="1" ht="15" customHeight="1">
      <c r="B313" s="250" t="s">
        <v>531</v>
      </c>
      <c r="C313" s="250"/>
      <c r="D313" s="268" t="s">
        <v>532</v>
      </c>
      <c r="E313" s="268"/>
      <c r="F313" s="268"/>
      <c r="G313" s="268"/>
      <c r="H313" s="271" t="s">
        <v>1155</v>
      </c>
    </row>
    <row r="314" spans="2:8" s="212" customFormat="1" ht="15" customHeight="1">
      <c r="B314" s="250" t="s">
        <v>533</v>
      </c>
      <c r="C314" s="250"/>
      <c r="D314" s="268" t="s">
        <v>534</v>
      </c>
      <c r="E314" s="268"/>
      <c r="F314" s="268"/>
      <c r="G314" s="268"/>
      <c r="H314" s="271" t="s">
        <v>1155</v>
      </c>
    </row>
    <row r="315" spans="2:8" s="1" customFormat="1" ht="39.75" customHeight="1">
      <c r="B315" s="256" t="s">
        <v>2443</v>
      </c>
      <c r="C315" s="251" t="s">
        <v>2191</v>
      </c>
      <c r="D315" s="3" t="s">
        <v>74</v>
      </c>
      <c r="E315" s="4" t="s">
        <v>75</v>
      </c>
      <c r="F315" s="5" t="s">
        <v>535</v>
      </c>
      <c r="G315" s="105">
        <v>6.08</v>
      </c>
      <c r="H315" s="8">
        <f t="shared" ref="H315:H323" si="27">F315*G315</f>
        <v>4526.2560000000003</v>
      </c>
    </row>
    <row r="316" spans="2:8" s="1" customFormat="1" ht="38.25">
      <c r="B316" s="256" t="s">
        <v>2444</v>
      </c>
      <c r="C316" s="251" t="s">
        <v>106</v>
      </c>
      <c r="D316" s="3" t="s">
        <v>107</v>
      </c>
      <c r="E316" s="4" t="s">
        <v>108</v>
      </c>
      <c r="F316" s="5" t="s">
        <v>536</v>
      </c>
      <c r="G316" s="105">
        <v>0.65</v>
      </c>
      <c r="H316" s="8">
        <f t="shared" si="27"/>
        <v>11129.5275</v>
      </c>
    </row>
    <row r="317" spans="2:8" s="212" customFormat="1" ht="15" customHeight="1">
      <c r="B317" s="250" t="s">
        <v>537</v>
      </c>
      <c r="C317" s="250"/>
      <c r="D317" s="268" t="s">
        <v>538</v>
      </c>
      <c r="E317" s="268"/>
      <c r="F317" s="268"/>
      <c r="G317" s="268"/>
      <c r="H317" s="271" t="s">
        <v>1155</v>
      </c>
    </row>
    <row r="318" spans="2:8" s="1" customFormat="1" ht="25.5">
      <c r="B318" s="256" t="s">
        <v>2445</v>
      </c>
      <c r="C318" s="251" t="s">
        <v>2219</v>
      </c>
      <c r="D318" s="3" t="s">
        <v>539</v>
      </c>
      <c r="E318" s="4" t="s">
        <v>24</v>
      </c>
      <c r="F318" s="5" t="s">
        <v>540</v>
      </c>
      <c r="G318" s="105">
        <v>1.97</v>
      </c>
      <c r="H318" s="8">
        <f t="shared" si="27"/>
        <v>4605.8599999999997</v>
      </c>
    </row>
    <row r="319" spans="2:8" s="1" customFormat="1" ht="38.25">
      <c r="B319" s="256" t="s">
        <v>2446</v>
      </c>
      <c r="C319" s="251" t="s">
        <v>2049</v>
      </c>
      <c r="D319" s="3" t="s">
        <v>541</v>
      </c>
      <c r="E319" s="4" t="s">
        <v>75</v>
      </c>
      <c r="F319" s="5" t="s">
        <v>542</v>
      </c>
      <c r="G319" s="105">
        <f>CPU!H902</f>
        <v>1.8741351999999998</v>
      </c>
      <c r="H319" s="8">
        <f t="shared" si="27"/>
        <v>877.09527359999993</v>
      </c>
    </row>
    <row r="320" spans="2:8" s="212" customFormat="1" ht="15" customHeight="1">
      <c r="B320" s="250" t="s">
        <v>543</v>
      </c>
      <c r="C320" s="250"/>
      <c r="D320" s="268" t="s">
        <v>544</v>
      </c>
      <c r="E320" s="268"/>
      <c r="F320" s="268"/>
      <c r="G320" s="268"/>
      <c r="H320" s="271" t="s">
        <v>1155</v>
      </c>
    </row>
    <row r="321" spans="2:10" s="1" customFormat="1" ht="65.25" customHeight="1">
      <c r="B321" s="256" t="s">
        <v>2447</v>
      </c>
      <c r="C321" s="251" t="s">
        <v>545</v>
      </c>
      <c r="D321" s="3" t="s">
        <v>546</v>
      </c>
      <c r="E321" s="4" t="s">
        <v>15</v>
      </c>
      <c r="F321" s="5" t="s">
        <v>547</v>
      </c>
      <c r="G321" s="105">
        <v>52.32</v>
      </c>
      <c r="H321" s="8">
        <f t="shared" si="27"/>
        <v>17736.48</v>
      </c>
    </row>
    <row r="322" spans="2:10" s="212" customFormat="1" ht="15" customHeight="1">
      <c r="B322" s="250" t="s">
        <v>548</v>
      </c>
      <c r="C322" s="250" t="s">
        <v>548</v>
      </c>
      <c r="D322" s="268" t="s">
        <v>549</v>
      </c>
      <c r="E322" s="268"/>
      <c r="F322" s="268"/>
      <c r="G322" s="268"/>
      <c r="H322" s="271" t="s">
        <v>1155</v>
      </c>
    </row>
    <row r="323" spans="2:10" s="1" customFormat="1" ht="18" customHeight="1">
      <c r="B323" s="256" t="s">
        <v>2448</v>
      </c>
      <c r="C323" s="251" t="s">
        <v>2192</v>
      </c>
      <c r="D323" s="214" t="s">
        <v>550</v>
      </c>
      <c r="E323" s="4" t="s">
        <v>75</v>
      </c>
      <c r="F323" s="5">
        <v>269.73</v>
      </c>
      <c r="G323" s="105">
        <v>177.13</v>
      </c>
      <c r="H323" s="8">
        <f t="shared" si="27"/>
        <v>47777.274900000004</v>
      </c>
    </row>
    <row r="324" spans="2:10" s="212" customFormat="1" ht="15" customHeight="1">
      <c r="B324" s="250" t="s">
        <v>551</v>
      </c>
      <c r="C324" s="250" t="s">
        <v>551</v>
      </c>
      <c r="D324" s="268" t="s">
        <v>422</v>
      </c>
      <c r="E324" s="268"/>
      <c r="F324" s="268"/>
      <c r="G324" s="268"/>
      <c r="H324" s="271" t="s">
        <v>1155</v>
      </c>
    </row>
    <row r="325" spans="2:10" s="1" customFormat="1" ht="38.25">
      <c r="B325" s="256" t="s">
        <v>2449</v>
      </c>
      <c r="C325" s="251" t="s">
        <v>552</v>
      </c>
      <c r="D325" s="3" t="s">
        <v>553</v>
      </c>
      <c r="E325" s="4" t="s">
        <v>24</v>
      </c>
      <c r="F325" s="5" t="s">
        <v>528</v>
      </c>
      <c r="G325" s="105">
        <v>65.5</v>
      </c>
      <c r="H325" s="8">
        <f t="shared" ref="H325:H334" si="28">F325*G325</f>
        <v>58688</v>
      </c>
    </row>
    <row r="326" spans="2:10" s="1" customFormat="1" ht="39" customHeight="1">
      <c r="B326" s="256" t="s">
        <v>2450</v>
      </c>
      <c r="C326" s="251" t="s">
        <v>554</v>
      </c>
      <c r="D326" s="3" t="s">
        <v>555</v>
      </c>
      <c r="E326" s="4" t="s">
        <v>24</v>
      </c>
      <c r="F326" s="5">
        <v>902.2</v>
      </c>
      <c r="G326" s="105">
        <v>65.540000000000006</v>
      </c>
      <c r="H326" s="8">
        <f t="shared" si="28"/>
        <v>59130.188000000009</v>
      </c>
    </row>
    <row r="327" spans="2:10" s="212" customFormat="1" ht="15" customHeight="1">
      <c r="B327" s="250" t="s">
        <v>556</v>
      </c>
      <c r="C327" s="250" t="s">
        <v>556</v>
      </c>
      <c r="D327" s="268" t="s">
        <v>557</v>
      </c>
      <c r="E327" s="268"/>
      <c r="F327" s="268"/>
      <c r="G327" s="268"/>
      <c r="H327" s="271" t="s">
        <v>1155</v>
      </c>
    </row>
    <row r="328" spans="2:10" s="1" customFormat="1" ht="38.25">
      <c r="B328" s="256" t="s">
        <v>2451</v>
      </c>
      <c r="C328" s="251" t="s">
        <v>558</v>
      </c>
      <c r="D328" s="3" t="s">
        <v>559</v>
      </c>
      <c r="E328" s="4" t="s">
        <v>24</v>
      </c>
      <c r="F328" s="5">
        <v>2040.5</v>
      </c>
      <c r="G328" s="105">
        <v>78.48</v>
      </c>
      <c r="H328" s="8">
        <f t="shared" si="28"/>
        <v>160138.44</v>
      </c>
    </row>
    <row r="329" spans="2:10" s="1" customFormat="1" ht="25.5" customHeight="1">
      <c r="B329" s="256" t="s">
        <v>2452</v>
      </c>
      <c r="C329" s="258" t="s">
        <v>2193</v>
      </c>
      <c r="D329" s="85" t="s">
        <v>1864</v>
      </c>
      <c r="E329" s="4" t="s">
        <v>37</v>
      </c>
      <c r="F329" s="5">
        <v>3</v>
      </c>
      <c r="G329" s="105">
        <f>CPU!H918</f>
        <v>718.65934025200011</v>
      </c>
      <c r="H329" s="8">
        <f t="shared" si="28"/>
        <v>2155.9780207560002</v>
      </c>
    </row>
    <row r="330" spans="2:10" s="1" customFormat="1" ht="15" customHeight="1">
      <c r="B330" s="256"/>
      <c r="C330" s="251"/>
      <c r="D330" s="274" t="s">
        <v>1183</v>
      </c>
      <c r="E330" s="275"/>
      <c r="F330" s="276"/>
      <c r="G330" s="276"/>
      <c r="H330" s="277">
        <f>SUM(H315:H329)</f>
        <v>366765.09969435603</v>
      </c>
    </row>
    <row r="331" spans="2:10" s="212" customFormat="1" ht="15" customHeight="1">
      <c r="B331" s="250" t="s">
        <v>560</v>
      </c>
      <c r="C331" s="250"/>
      <c r="D331" s="268" t="s">
        <v>561</v>
      </c>
      <c r="E331" s="268"/>
      <c r="F331" s="268"/>
      <c r="G331" s="268"/>
      <c r="H331" s="271" t="s">
        <v>1155</v>
      </c>
    </row>
    <row r="332" spans="2:10" s="1" customFormat="1" ht="25.5">
      <c r="B332" s="256" t="s">
        <v>2453</v>
      </c>
      <c r="C332" s="251" t="s">
        <v>2194</v>
      </c>
      <c r="D332" s="3" t="s">
        <v>562</v>
      </c>
      <c r="E332" s="4" t="s">
        <v>24</v>
      </c>
      <c r="F332" s="5" t="s">
        <v>563</v>
      </c>
      <c r="G332" s="105">
        <v>40.01</v>
      </c>
      <c r="H332" s="8">
        <f t="shared" si="28"/>
        <v>1932.4829999999997</v>
      </c>
    </row>
    <row r="333" spans="2:10" s="1" customFormat="1" ht="25.5">
      <c r="B333" s="256" t="s">
        <v>2454</v>
      </c>
      <c r="C333" s="251" t="s">
        <v>2195</v>
      </c>
      <c r="D333" s="3" t="s">
        <v>564</v>
      </c>
      <c r="E333" s="4" t="s">
        <v>24</v>
      </c>
      <c r="F333" s="5" t="s">
        <v>73</v>
      </c>
      <c r="G333" s="105">
        <v>610.29</v>
      </c>
      <c r="H333" s="8">
        <f t="shared" si="28"/>
        <v>1391.4611999999997</v>
      </c>
    </row>
    <row r="334" spans="2:10" s="1" customFormat="1" ht="25.5">
      <c r="B334" s="256" t="s">
        <v>2455</v>
      </c>
      <c r="C334" s="251" t="s">
        <v>2196</v>
      </c>
      <c r="D334" s="3" t="s">
        <v>565</v>
      </c>
      <c r="E334" s="4" t="s">
        <v>24</v>
      </c>
      <c r="F334" s="5" t="s">
        <v>566</v>
      </c>
      <c r="G334" s="105">
        <v>48.31</v>
      </c>
      <c r="H334" s="8">
        <f t="shared" si="28"/>
        <v>1478.2860000000001</v>
      </c>
    </row>
    <row r="335" spans="2:10" s="212" customFormat="1" ht="15" customHeight="1">
      <c r="B335" s="256"/>
      <c r="C335" s="217"/>
      <c r="D335" s="274" t="s">
        <v>1184</v>
      </c>
      <c r="E335" s="275"/>
      <c r="F335" s="276"/>
      <c r="G335" s="276"/>
      <c r="H335" s="277">
        <f>SUM(H332:H334)</f>
        <v>4802.2302</v>
      </c>
    </row>
    <row r="336" spans="2:10" s="212" customFormat="1" ht="20.100000000000001" customHeight="1">
      <c r="B336" s="253"/>
      <c r="C336" s="259"/>
      <c r="D336" s="260" t="s">
        <v>2797</v>
      </c>
      <c r="E336" s="261"/>
      <c r="F336" s="262"/>
      <c r="G336" s="262"/>
      <c r="H336" s="263">
        <f>H178+H217+H223+H231+H237+H243+H251+H255+H266+H269+H283+H292+H301+H306+H312+H330+H335</f>
        <v>7929786.323668126</v>
      </c>
      <c r="I336" s="449"/>
      <c r="J336" s="449"/>
    </row>
    <row r="337" spans="2:10" s="212" customFormat="1" ht="20.100000000000001" customHeight="1">
      <c r="B337" s="257" t="s">
        <v>567</v>
      </c>
      <c r="C337" s="257"/>
      <c r="D337" s="286" t="s">
        <v>568</v>
      </c>
      <c r="E337" s="286"/>
      <c r="F337" s="286"/>
      <c r="G337" s="286"/>
      <c r="H337" s="287" t="s">
        <v>1155</v>
      </c>
      <c r="I337" s="449"/>
      <c r="J337" s="449"/>
    </row>
    <row r="338" spans="2:10" s="212" customFormat="1" ht="15" customHeight="1">
      <c r="B338" s="244" t="s">
        <v>569</v>
      </c>
      <c r="C338" s="244"/>
      <c r="D338" s="245" t="s">
        <v>570</v>
      </c>
      <c r="E338" s="245"/>
      <c r="F338" s="245"/>
      <c r="G338" s="245"/>
      <c r="H338" s="279" t="s">
        <v>1155</v>
      </c>
      <c r="I338" s="449"/>
      <c r="J338" s="449"/>
    </row>
    <row r="339" spans="2:10" s="212" customFormat="1" ht="15" customHeight="1">
      <c r="B339" s="250" t="s">
        <v>571</v>
      </c>
      <c r="C339" s="250"/>
      <c r="D339" s="268" t="s">
        <v>572</v>
      </c>
      <c r="E339" s="268"/>
      <c r="F339" s="268"/>
      <c r="G339" s="268"/>
      <c r="H339" s="271" t="s">
        <v>1155</v>
      </c>
    </row>
    <row r="340" spans="2:10" s="1" customFormat="1" ht="25.5" customHeight="1">
      <c r="B340" s="256" t="s">
        <v>2456</v>
      </c>
      <c r="C340" s="251" t="s">
        <v>573</v>
      </c>
      <c r="D340" s="3" t="s">
        <v>574</v>
      </c>
      <c r="E340" s="4" t="s">
        <v>37</v>
      </c>
      <c r="F340" s="5" t="s">
        <v>575</v>
      </c>
      <c r="G340" s="105">
        <v>34.75</v>
      </c>
      <c r="H340" s="8">
        <f t="shared" ref="H340:H352" si="29">F340*G340</f>
        <v>312.75</v>
      </c>
    </row>
    <row r="341" spans="2:10" s="1" customFormat="1" ht="38.25">
      <c r="B341" s="256" t="s">
        <v>2457</v>
      </c>
      <c r="C341" s="251" t="s">
        <v>576</v>
      </c>
      <c r="D341" s="3" t="s">
        <v>577</v>
      </c>
      <c r="E341" s="4" t="s">
        <v>37</v>
      </c>
      <c r="F341" s="5" t="s">
        <v>367</v>
      </c>
      <c r="G341" s="105">
        <v>60.22</v>
      </c>
      <c r="H341" s="8">
        <f t="shared" si="29"/>
        <v>120.44</v>
      </c>
    </row>
    <row r="342" spans="2:10" s="1" customFormat="1" ht="53.25" customHeight="1">
      <c r="B342" s="256" t="s">
        <v>2458</v>
      </c>
      <c r="C342" s="251" t="s">
        <v>578</v>
      </c>
      <c r="D342" s="3" t="s">
        <v>579</v>
      </c>
      <c r="E342" s="4" t="s">
        <v>15</v>
      </c>
      <c r="F342" s="5" t="s">
        <v>580</v>
      </c>
      <c r="G342" s="105">
        <v>78.73</v>
      </c>
      <c r="H342" s="8">
        <f t="shared" si="29"/>
        <v>944.76</v>
      </c>
    </row>
    <row r="343" spans="2:10" s="1" customFormat="1" ht="49.5" customHeight="1">
      <c r="B343" s="256" t="s">
        <v>2459</v>
      </c>
      <c r="C343" s="251" t="s">
        <v>581</v>
      </c>
      <c r="D343" s="3" t="s">
        <v>582</v>
      </c>
      <c r="E343" s="4" t="s">
        <v>15</v>
      </c>
      <c r="F343" s="5" t="s">
        <v>583</v>
      </c>
      <c r="G343" s="105">
        <v>110.72</v>
      </c>
      <c r="H343" s="8">
        <f t="shared" si="29"/>
        <v>664.31999999999994</v>
      </c>
    </row>
    <row r="344" spans="2:10" s="1" customFormat="1" ht="37.5" customHeight="1">
      <c r="B344" s="256" t="s">
        <v>2460</v>
      </c>
      <c r="C344" s="251" t="s">
        <v>584</v>
      </c>
      <c r="D344" s="3" t="s">
        <v>585</v>
      </c>
      <c r="E344" s="4" t="s">
        <v>37</v>
      </c>
      <c r="F344" s="5" t="s">
        <v>516</v>
      </c>
      <c r="G344" s="105">
        <v>46.1</v>
      </c>
      <c r="H344" s="8">
        <f t="shared" si="29"/>
        <v>922</v>
      </c>
    </row>
    <row r="345" spans="2:10" s="1" customFormat="1" ht="38.25" customHeight="1">
      <c r="B345" s="256" t="s">
        <v>2461</v>
      </c>
      <c r="C345" s="251" t="s">
        <v>586</v>
      </c>
      <c r="D345" s="3" t="s">
        <v>587</v>
      </c>
      <c r="E345" s="4" t="s">
        <v>37</v>
      </c>
      <c r="F345" s="5" t="s">
        <v>588</v>
      </c>
      <c r="G345" s="105">
        <v>89.02</v>
      </c>
      <c r="H345" s="8">
        <f t="shared" si="29"/>
        <v>445.09999999999997</v>
      </c>
    </row>
    <row r="346" spans="2:10" s="1" customFormat="1" ht="40.5" customHeight="1">
      <c r="B346" s="256" t="s">
        <v>2462</v>
      </c>
      <c r="C346" s="251" t="s">
        <v>589</v>
      </c>
      <c r="D346" s="3" t="s">
        <v>590</v>
      </c>
      <c r="E346" s="4" t="s">
        <v>37</v>
      </c>
      <c r="F346" s="5" t="s">
        <v>367</v>
      </c>
      <c r="G346" s="105">
        <v>107.73</v>
      </c>
      <c r="H346" s="8">
        <f t="shared" si="29"/>
        <v>215.46</v>
      </c>
    </row>
    <row r="347" spans="2:10" s="1" customFormat="1" ht="38.25" customHeight="1">
      <c r="B347" s="256" t="s">
        <v>2463</v>
      </c>
      <c r="C347" s="251" t="s">
        <v>591</v>
      </c>
      <c r="D347" s="3" t="s">
        <v>592</v>
      </c>
      <c r="E347" s="4" t="s">
        <v>37</v>
      </c>
      <c r="F347" s="5" t="s">
        <v>593</v>
      </c>
      <c r="G347" s="105">
        <v>29.5</v>
      </c>
      <c r="H347" s="8">
        <f t="shared" si="29"/>
        <v>206.5</v>
      </c>
    </row>
    <row r="348" spans="2:10" s="1" customFormat="1" ht="38.25">
      <c r="B348" s="256" t="s">
        <v>2464</v>
      </c>
      <c r="C348" s="251" t="s">
        <v>594</v>
      </c>
      <c r="D348" s="3" t="s">
        <v>595</v>
      </c>
      <c r="E348" s="4" t="s">
        <v>37</v>
      </c>
      <c r="F348" s="5" t="s">
        <v>367</v>
      </c>
      <c r="G348" s="105">
        <v>761.02</v>
      </c>
      <c r="H348" s="8">
        <f t="shared" si="29"/>
        <v>1522.04</v>
      </c>
    </row>
    <row r="349" spans="2:10" s="1" customFormat="1" ht="38.25">
      <c r="B349" s="256" t="s">
        <v>2465</v>
      </c>
      <c r="C349" s="251" t="s">
        <v>596</v>
      </c>
      <c r="D349" s="3" t="s">
        <v>597</v>
      </c>
      <c r="E349" s="4" t="s">
        <v>37</v>
      </c>
      <c r="F349" s="5" t="s">
        <v>367</v>
      </c>
      <c r="G349" s="105">
        <v>1324.23</v>
      </c>
      <c r="H349" s="8">
        <f t="shared" si="29"/>
        <v>2648.46</v>
      </c>
    </row>
    <row r="350" spans="2:10" s="1" customFormat="1" ht="52.5" customHeight="1">
      <c r="B350" s="256" t="s">
        <v>2466</v>
      </c>
      <c r="C350" s="251" t="s">
        <v>598</v>
      </c>
      <c r="D350" s="3" t="s">
        <v>599</v>
      </c>
      <c r="E350" s="4" t="s">
        <v>37</v>
      </c>
      <c r="F350" s="5" t="s">
        <v>358</v>
      </c>
      <c r="G350" s="105">
        <v>140.93</v>
      </c>
      <c r="H350" s="8">
        <f t="shared" si="29"/>
        <v>422.79</v>
      </c>
    </row>
    <row r="351" spans="2:10" s="1" customFormat="1" ht="63.75">
      <c r="B351" s="256" t="s">
        <v>2467</v>
      </c>
      <c r="C351" s="251" t="s">
        <v>600</v>
      </c>
      <c r="D351" s="3" t="s">
        <v>601</v>
      </c>
      <c r="E351" s="4" t="s">
        <v>37</v>
      </c>
      <c r="F351" s="5" t="s">
        <v>38</v>
      </c>
      <c r="G351" s="105">
        <v>69.22</v>
      </c>
      <c r="H351" s="8">
        <f t="shared" si="29"/>
        <v>69.22</v>
      </c>
    </row>
    <row r="352" spans="2:10" s="1" customFormat="1" ht="25.5" customHeight="1">
      <c r="B352" s="256" t="s">
        <v>2468</v>
      </c>
      <c r="C352" s="251" t="s">
        <v>602</v>
      </c>
      <c r="D352" s="3" t="s">
        <v>603</v>
      </c>
      <c r="E352" s="4" t="s">
        <v>37</v>
      </c>
      <c r="F352" s="5" t="s">
        <v>367</v>
      </c>
      <c r="G352" s="105">
        <v>59.61</v>
      </c>
      <c r="H352" s="8">
        <f t="shared" si="29"/>
        <v>119.22</v>
      </c>
    </row>
    <row r="353" spans="2:8" s="212" customFormat="1" ht="15" customHeight="1">
      <c r="B353" s="250" t="s">
        <v>604</v>
      </c>
      <c r="C353" s="250"/>
      <c r="D353" s="268" t="s">
        <v>605</v>
      </c>
      <c r="E353" s="268"/>
      <c r="F353" s="268"/>
      <c r="G353" s="268"/>
      <c r="H353" s="271" t="s">
        <v>1155</v>
      </c>
    </row>
    <row r="354" spans="2:8" s="1" customFormat="1" ht="25.5">
      <c r="B354" s="256" t="s">
        <v>2469</v>
      </c>
      <c r="C354" s="251" t="s">
        <v>2055</v>
      </c>
      <c r="D354" s="214" t="s">
        <v>606</v>
      </c>
      <c r="E354" s="4" t="s">
        <v>37</v>
      </c>
      <c r="F354" s="5" t="s">
        <v>607</v>
      </c>
      <c r="G354" s="105">
        <f>CPU!H927</f>
        <v>16.243066796298251</v>
      </c>
      <c r="H354" s="8">
        <f t="shared" ref="H354:H414" si="30">F354*G354</f>
        <v>2436.4600194447376</v>
      </c>
    </row>
    <row r="355" spans="2:8" s="1" customFormat="1" ht="25.5">
      <c r="B355" s="256" t="s">
        <v>2470</v>
      </c>
      <c r="C355" s="251" t="s">
        <v>2056</v>
      </c>
      <c r="D355" s="214" t="s">
        <v>608</v>
      </c>
      <c r="E355" s="4" t="s">
        <v>37</v>
      </c>
      <c r="F355" s="5" t="s">
        <v>583</v>
      </c>
      <c r="G355" s="105">
        <f>CPU!H935</f>
        <v>6.8678187996823583</v>
      </c>
      <c r="H355" s="8">
        <f t="shared" si="30"/>
        <v>41.206912798094152</v>
      </c>
    </row>
    <row r="356" spans="2:8" s="1" customFormat="1" ht="25.5">
      <c r="B356" s="256" t="s">
        <v>2471</v>
      </c>
      <c r="C356" s="251" t="s">
        <v>2057</v>
      </c>
      <c r="D356" s="214" t="s">
        <v>609</v>
      </c>
      <c r="E356" s="4" t="s">
        <v>37</v>
      </c>
      <c r="F356" s="5" t="s">
        <v>583</v>
      </c>
      <c r="G356" s="105">
        <f>CPU!H943</f>
        <v>9.6603667997556606</v>
      </c>
      <c r="H356" s="8">
        <f t="shared" si="30"/>
        <v>57.962200798533964</v>
      </c>
    </row>
    <row r="357" spans="2:8" s="1" customFormat="1" ht="25.5">
      <c r="B357" s="256" t="s">
        <v>2472</v>
      </c>
      <c r="C357" s="251" t="s">
        <v>2058</v>
      </c>
      <c r="D357" s="214" t="s">
        <v>610</v>
      </c>
      <c r="E357" s="4" t="s">
        <v>37</v>
      </c>
      <c r="F357" s="5" t="s">
        <v>611</v>
      </c>
      <c r="G357" s="105">
        <f>CPU!H951</f>
        <v>14.0730160011484</v>
      </c>
      <c r="H357" s="8">
        <f t="shared" si="30"/>
        <v>112.5841280091872</v>
      </c>
    </row>
    <row r="358" spans="2:8" s="1" customFormat="1" ht="39" customHeight="1">
      <c r="B358" s="256" t="s">
        <v>2473</v>
      </c>
      <c r="C358" s="251" t="s">
        <v>612</v>
      </c>
      <c r="D358" s="3" t="s">
        <v>613</v>
      </c>
      <c r="E358" s="4" t="s">
        <v>37</v>
      </c>
      <c r="F358" s="5" t="s">
        <v>614</v>
      </c>
      <c r="G358" s="105">
        <v>14.47</v>
      </c>
      <c r="H358" s="8">
        <f t="shared" si="30"/>
        <v>303.87</v>
      </c>
    </row>
    <row r="359" spans="2:8" s="1" customFormat="1" ht="38.25">
      <c r="B359" s="256" t="s">
        <v>2474</v>
      </c>
      <c r="C359" s="251" t="s">
        <v>615</v>
      </c>
      <c r="D359" s="3" t="s">
        <v>616</v>
      </c>
      <c r="E359" s="4" t="s">
        <v>37</v>
      </c>
      <c r="F359" s="5" t="s">
        <v>617</v>
      </c>
      <c r="G359" s="105">
        <v>7.06</v>
      </c>
      <c r="H359" s="8">
        <f t="shared" si="30"/>
        <v>564.79999999999995</v>
      </c>
    </row>
    <row r="360" spans="2:8" s="1" customFormat="1" ht="38.25">
      <c r="B360" s="256" t="s">
        <v>2475</v>
      </c>
      <c r="C360" s="251" t="s">
        <v>618</v>
      </c>
      <c r="D360" s="3" t="s">
        <v>619</v>
      </c>
      <c r="E360" s="4" t="s">
        <v>37</v>
      </c>
      <c r="F360" s="5" t="s">
        <v>620</v>
      </c>
      <c r="G360" s="105">
        <v>17.260000000000002</v>
      </c>
      <c r="H360" s="8">
        <f t="shared" si="30"/>
        <v>863.00000000000011</v>
      </c>
    </row>
    <row r="361" spans="2:8" s="1" customFormat="1" ht="27.75" customHeight="1">
      <c r="B361" s="256" t="s">
        <v>2476</v>
      </c>
      <c r="C361" s="251" t="s">
        <v>621</v>
      </c>
      <c r="D361" s="3" t="s">
        <v>622</v>
      </c>
      <c r="E361" s="4" t="s">
        <v>15</v>
      </c>
      <c r="F361" s="5" t="s">
        <v>623</v>
      </c>
      <c r="G361" s="105">
        <v>5.88</v>
      </c>
      <c r="H361" s="8">
        <f t="shared" si="30"/>
        <v>2869.44</v>
      </c>
    </row>
    <row r="362" spans="2:8" s="1" customFormat="1" ht="27.75" customHeight="1">
      <c r="B362" s="256" t="s">
        <v>2477</v>
      </c>
      <c r="C362" s="251" t="s">
        <v>624</v>
      </c>
      <c r="D362" s="3" t="s">
        <v>625</v>
      </c>
      <c r="E362" s="4" t="s">
        <v>15</v>
      </c>
      <c r="F362" s="5" t="s">
        <v>34</v>
      </c>
      <c r="G362" s="105">
        <v>12.53</v>
      </c>
      <c r="H362" s="8">
        <f t="shared" si="30"/>
        <v>225.54</v>
      </c>
    </row>
    <row r="363" spans="2:8" s="1" customFormat="1" ht="25.5" customHeight="1">
      <c r="B363" s="256" t="s">
        <v>2478</v>
      </c>
      <c r="C363" s="251" t="s">
        <v>626</v>
      </c>
      <c r="D363" s="3" t="s">
        <v>627</v>
      </c>
      <c r="E363" s="4" t="s">
        <v>15</v>
      </c>
      <c r="F363" s="5" t="s">
        <v>628</v>
      </c>
      <c r="G363" s="105">
        <v>18.04</v>
      </c>
      <c r="H363" s="8">
        <f t="shared" si="30"/>
        <v>4906.88</v>
      </c>
    </row>
    <row r="364" spans="2:8" s="1" customFormat="1" ht="27" customHeight="1">
      <c r="B364" s="256" t="s">
        <v>2479</v>
      </c>
      <c r="C364" s="251" t="s">
        <v>629</v>
      </c>
      <c r="D364" s="3" t="s">
        <v>630</v>
      </c>
      <c r="E364" s="4" t="s">
        <v>15</v>
      </c>
      <c r="F364" s="5" t="s">
        <v>631</v>
      </c>
      <c r="G364" s="105">
        <v>20.73</v>
      </c>
      <c r="H364" s="8">
        <f t="shared" si="30"/>
        <v>2425.41</v>
      </c>
    </row>
    <row r="365" spans="2:8" s="1" customFormat="1" ht="27" customHeight="1">
      <c r="B365" s="256" t="s">
        <v>2480</v>
      </c>
      <c r="C365" s="251" t="s">
        <v>632</v>
      </c>
      <c r="D365" s="3" t="s">
        <v>633</v>
      </c>
      <c r="E365" s="4" t="s">
        <v>15</v>
      </c>
      <c r="F365" s="5" t="s">
        <v>289</v>
      </c>
      <c r="G365" s="105">
        <v>34.340000000000003</v>
      </c>
      <c r="H365" s="8">
        <f t="shared" si="30"/>
        <v>755.48</v>
      </c>
    </row>
    <row r="366" spans="2:8" s="1" customFormat="1" ht="38.25">
      <c r="B366" s="256" t="s">
        <v>2481</v>
      </c>
      <c r="C366" s="251" t="s">
        <v>634</v>
      </c>
      <c r="D366" s="3" t="s">
        <v>635</v>
      </c>
      <c r="E366" s="4" t="s">
        <v>37</v>
      </c>
      <c r="F366" s="5" t="s">
        <v>607</v>
      </c>
      <c r="G366" s="105">
        <v>7.8</v>
      </c>
      <c r="H366" s="8">
        <f t="shared" si="30"/>
        <v>1170</v>
      </c>
    </row>
    <row r="367" spans="2:8" s="1" customFormat="1" ht="38.25">
      <c r="B367" s="256" t="s">
        <v>2482</v>
      </c>
      <c r="C367" s="251" t="s">
        <v>636</v>
      </c>
      <c r="D367" s="3" t="s">
        <v>637</v>
      </c>
      <c r="E367" s="4" t="s">
        <v>37</v>
      </c>
      <c r="F367" s="5" t="s">
        <v>14</v>
      </c>
      <c r="G367" s="105">
        <v>13.91</v>
      </c>
      <c r="H367" s="8">
        <f t="shared" si="30"/>
        <v>139.1</v>
      </c>
    </row>
    <row r="368" spans="2:8" s="1" customFormat="1" ht="38.25">
      <c r="B368" s="256" t="s">
        <v>2483</v>
      </c>
      <c r="C368" s="251" t="s">
        <v>638</v>
      </c>
      <c r="D368" s="3" t="s">
        <v>639</v>
      </c>
      <c r="E368" s="4" t="s">
        <v>37</v>
      </c>
      <c r="F368" s="5" t="s">
        <v>14</v>
      </c>
      <c r="G368" s="105">
        <v>13.97</v>
      </c>
      <c r="H368" s="8">
        <f t="shared" si="30"/>
        <v>139.70000000000002</v>
      </c>
    </row>
    <row r="369" spans="2:8" s="1" customFormat="1" ht="38.25">
      <c r="B369" s="256" t="s">
        <v>2484</v>
      </c>
      <c r="C369" s="251" t="s">
        <v>640</v>
      </c>
      <c r="D369" s="3" t="s">
        <v>641</v>
      </c>
      <c r="E369" s="4" t="s">
        <v>37</v>
      </c>
      <c r="F369" s="5" t="s">
        <v>14</v>
      </c>
      <c r="G369" s="105">
        <v>22.21</v>
      </c>
      <c r="H369" s="8">
        <f t="shared" si="30"/>
        <v>222.10000000000002</v>
      </c>
    </row>
    <row r="370" spans="2:8" s="1" customFormat="1" ht="38.25">
      <c r="B370" s="256" t="s">
        <v>2485</v>
      </c>
      <c r="C370" s="251" t="s">
        <v>642</v>
      </c>
      <c r="D370" s="3" t="s">
        <v>643</v>
      </c>
      <c r="E370" s="4" t="s">
        <v>37</v>
      </c>
      <c r="F370" s="5" t="s">
        <v>14</v>
      </c>
      <c r="G370" s="105">
        <v>17.489999999999998</v>
      </c>
      <c r="H370" s="8">
        <f t="shared" si="30"/>
        <v>174.89999999999998</v>
      </c>
    </row>
    <row r="371" spans="2:8" s="1" customFormat="1" ht="38.25">
      <c r="B371" s="256" t="s">
        <v>2486</v>
      </c>
      <c r="C371" s="251" t="s">
        <v>644</v>
      </c>
      <c r="D371" s="3" t="s">
        <v>645</v>
      </c>
      <c r="E371" s="4" t="s">
        <v>37</v>
      </c>
      <c r="F371" s="5" t="s">
        <v>516</v>
      </c>
      <c r="G371" s="105">
        <v>27.71</v>
      </c>
      <c r="H371" s="8">
        <f t="shared" si="30"/>
        <v>554.20000000000005</v>
      </c>
    </row>
    <row r="372" spans="2:8" s="1" customFormat="1" ht="38.25">
      <c r="B372" s="256" t="s">
        <v>2487</v>
      </c>
      <c r="C372" s="251" t="s">
        <v>647</v>
      </c>
      <c r="D372" s="3" t="s">
        <v>648</v>
      </c>
      <c r="E372" s="4" t="s">
        <v>37</v>
      </c>
      <c r="F372" s="5" t="s">
        <v>588</v>
      </c>
      <c r="G372" s="105">
        <v>59.01</v>
      </c>
      <c r="H372" s="8">
        <f t="shared" si="30"/>
        <v>295.05</v>
      </c>
    </row>
    <row r="373" spans="2:8" s="1" customFormat="1" ht="51">
      <c r="B373" s="256" t="s">
        <v>2488</v>
      </c>
      <c r="C373" s="251" t="s">
        <v>649</v>
      </c>
      <c r="D373" s="3" t="s">
        <v>650</v>
      </c>
      <c r="E373" s="4" t="s">
        <v>37</v>
      </c>
      <c r="F373" s="5" t="s">
        <v>651</v>
      </c>
      <c r="G373" s="105">
        <v>11.07</v>
      </c>
      <c r="H373" s="8">
        <f t="shared" si="30"/>
        <v>1328.4</v>
      </c>
    </row>
    <row r="374" spans="2:8" s="1" customFormat="1" ht="51">
      <c r="B374" s="256" t="s">
        <v>2489</v>
      </c>
      <c r="C374" s="251" t="s">
        <v>652</v>
      </c>
      <c r="D374" s="3" t="s">
        <v>653</v>
      </c>
      <c r="E374" s="4" t="s">
        <v>37</v>
      </c>
      <c r="F374" s="5" t="s">
        <v>593</v>
      </c>
      <c r="G374" s="105">
        <v>26.46</v>
      </c>
      <c r="H374" s="8">
        <f t="shared" si="30"/>
        <v>185.22</v>
      </c>
    </row>
    <row r="375" spans="2:8" s="1" customFormat="1" ht="51">
      <c r="B375" s="256" t="s">
        <v>2490</v>
      </c>
      <c r="C375" s="251" t="s">
        <v>654</v>
      </c>
      <c r="D375" s="3" t="s">
        <v>655</v>
      </c>
      <c r="E375" s="4" t="s">
        <v>37</v>
      </c>
      <c r="F375" s="5" t="s">
        <v>611</v>
      </c>
      <c r="G375" s="105">
        <v>27.86</v>
      </c>
      <c r="H375" s="8">
        <f t="shared" si="30"/>
        <v>222.88</v>
      </c>
    </row>
    <row r="376" spans="2:8" s="1" customFormat="1" ht="51">
      <c r="B376" s="256" t="s">
        <v>2491</v>
      </c>
      <c r="C376" s="251" t="s">
        <v>656</v>
      </c>
      <c r="D376" s="3" t="s">
        <v>657</v>
      </c>
      <c r="E376" s="4" t="s">
        <v>37</v>
      </c>
      <c r="F376" s="5" t="s">
        <v>358</v>
      </c>
      <c r="G376" s="105">
        <v>66.06</v>
      </c>
      <c r="H376" s="8">
        <f t="shared" si="30"/>
        <v>198.18</v>
      </c>
    </row>
    <row r="377" spans="2:8" s="1" customFormat="1" ht="15" customHeight="1">
      <c r="B377" s="256"/>
      <c r="C377" s="251"/>
      <c r="D377" s="274" t="s">
        <v>1185</v>
      </c>
      <c r="E377" s="275"/>
      <c r="F377" s="276"/>
      <c r="G377" s="276"/>
      <c r="H377" s="277">
        <f>SUM(H340:H376)</f>
        <v>28805.423261050557</v>
      </c>
    </row>
    <row r="378" spans="2:8" s="1" customFormat="1" ht="15" customHeight="1">
      <c r="B378" s="250" t="s">
        <v>658</v>
      </c>
      <c r="C378" s="250"/>
      <c r="D378" s="268" t="s">
        <v>659</v>
      </c>
      <c r="E378" s="281"/>
      <c r="F378" s="281"/>
      <c r="G378" s="281"/>
      <c r="H378" s="282" t="s">
        <v>1155</v>
      </c>
    </row>
    <row r="379" spans="2:8" s="1" customFormat="1" ht="25.5">
      <c r="B379" s="256" t="s">
        <v>2492</v>
      </c>
      <c r="C379" s="251" t="s">
        <v>660</v>
      </c>
      <c r="D379" s="3" t="s">
        <v>1892</v>
      </c>
      <c r="E379" s="4" t="s">
        <v>37</v>
      </c>
      <c r="F379" s="5" t="s">
        <v>661</v>
      </c>
      <c r="G379" s="105">
        <v>292.10000000000002</v>
      </c>
      <c r="H379" s="8">
        <f t="shared" si="30"/>
        <v>13728.7</v>
      </c>
    </row>
    <row r="380" spans="2:8" s="1" customFormat="1" ht="25.5">
      <c r="B380" s="256" t="s">
        <v>2493</v>
      </c>
      <c r="C380" s="251" t="s">
        <v>2838</v>
      </c>
      <c r="D380" s="3" t="s">
        <v>1862</v>
      </c>
      <c r="E380" s="4" t="s">
        <v>37</v>
      </c>
      <c r="F380" s="5" t="s">
        <v>38</v>
      </c>
      <c r="G380" s="105">
        <v>1039.5</v>
      </c>
      <c r="H380" s="8">
        <f t="shared" si="30"/>
        <v>1039.5</v>
      </c>
    </row>
    <row r="381" spans="2:8" s="1" customFormat="1" ht="38.25">
      <c r="B381" s="256" t="s">
        <v>2494</v>
      </c>
      <c r="C381" s="251" t="s">
        <v>662</v>
      </c>
      <c r="D381" s="3" t="s">
        <v>1863</v>
      </c>
      <c r="E381" s="4" t="s">
        <v>663</v>
      </c>
      <c r="F381" s="5" t="s">
        <v>14</v>
      </c>
      <c r="G381" s="105">
        <v>359.38</v>
      </c>
      <c r="H381" s="8">
        <f t="shared" si="30"/>
        <v>3593.8</v>
      </c>
    </row>
    <row r="382" spans="2:8" s="1" customFormat="1" ht="51">
      <c r="B382" s="256" t="s">
        <v>2495</v>
      </c>
      <c r="C382" s="251" t="s">
        <v>2839</v>
      </c>
      <c r="D382" s="3" t="s">
        <v>664</v>
      </c>
      <c r="E382" s="4" t="s">
        <v>37</v>
      </c>
      <c r="F382" s="5" t="s">
        <v>43</v>
      </c>
      <c r="G382" s="105">
        <v>101.43</v>
      </c>
      <c r="H382" s="8">
        <f t="shared" si="30"/>
        <v>3245.76</v>
      </c>
    </row>
    <row r="383" spans="2:8" s="1" customFormat="1" ht="25.5">
      <c r="B383" s="256" t="s">
        <v>2496</v>
      </c>
      <c r="C383" s="251" t="s">
        <v>2840</v>
      </c>
      <c r="D383" s="214" t="s">
        <v>2220</v>
      </c>
      <c r="E383" s="4" t="s">
        <v>37</v>
      </c>
      <c r="F383" s="5" t="s">
        <v>575</v>
      </c>
      <c r="G383" s="105">
        <v>246.89</v>
      </c>
      <c r="H383" s="8">
        <f t="shared" si="30"/>
        <v>2222.0099999999998</v>
      </c>
    </row>
    <row r="384" spans="2:8" s="1" customFormat="1" ht="38.25">
      <c r="B384" s="256" t="s">
        <v>2497</v>
      </c>
      <c r="C384" s="251" t="s">
        <v>2197</v>
      </c>
      <c r="D384" s="3" t="s">
        <v>665</v>
      </c>
      <c r="E384" s="4" t="s">
        <v>37</v>
      </c>
      <c r="F384" s="5" t="s">
        <v>575</v>
      </c>
      <c r="G384" s="105">
        <f>CPU!H969</f>
        <v>2770.5530488353697</v>
      </c>
      <c r="H384" s="8">
        <f t="shared" si="30"/>
        <v>24934.977439518327</v>
      </c>
    </row>
    <row r="385" spans="2:8" s="1" customFormat="1" ht="51" customHeight="1">
      <c r="B385" s="256" t="s">
        <v>2498</v>
      </c>
      <c r="C385" s="251" t="s">
        <v>2198</v>
      </c>
      <c r="D385" s="3" t="s">
        <v>666</v>
      </c>
      <c r="E385" s="4" t="s">
        <v>37</v>
      </c>
      <c r="F385" s="5" t="s">
        <v>667</v>
      </c>
      <c r="G385" s="105">
        <f>CPU!H979</f>
        <v>564.60815669345004</v>
      </c>
      <c r="H385" s="8">
        <f t="shared" si="30"/>
        <v>7339.9060370148509</v>
      </c>
    </row>
    <row r="386" spans="2:8" s="1" customFormat="1" ht="38.25">
      <c r="B386" s="256" t="s">
        <v>2499</v>
      </c>
      <c r="C386" s="251" t="s">
        <v>668</v>
      </c>
      <c r="D386" s="3" t="s">
        <v>669</v>
      </c>
      <c r="E386" s="4" t="s">
        <v>37</v>
      </c>
      <c r="F386" s="5" t="s">
        <v>289</v>
      </c>
      <c r="G386" s="105">
        <v>105.18</v>
      </c>
      <c r="H386" s="8">
        <f t="shared" si="30"/>
        <v>2313.96</v>
      </c>
    </row>
    <row r="387" spans="2:8" s="1" customFormat="1" ht="63.75">
      <c r="B387" s="256" t="s">
        <v>2500</v>
      </c>
      <c r="C387" s="251" t="s">
        <v>670</v>
      </c>
      <c r="D387" s="3" t="s">
        <v>671</v>
      </c>
      <c r="E387" s="4" t="s">
        <v>37</v>
      </c>
      <c r="F387" s="5" t="s">
        <v>38</v>
      </c>
      <c r="G387" s="105">
        <v>710.49</v>
      </c>
      <c r="H387" s="8">
        <f t="shared" si="30"/>
        <v>710.49</v>
      </c>
    </row>
    <row r="388" spans="2:8" s="1" customFormat="1" ht="51">
      <c r="B388" s="256" t="s">
        <v>2501</v>
      </c>
      <c r="C388" s="251" t="s">
        <v>672</v>
      </c>
      <c r="D388" s="3" t="s">
        <v>673</v>
      </c>
      <c r="E388" s="4" t="s">
        <v>37</v>
      </c>
      <c r="F388" s="5" t="s">
        <v>674</v>
      </c>
      <c r="G388" s="105">
        <v>436.4</v>
      </c>
      <c r="H388" s="8">
        <f t="shared" si="30"/>
        <v>19638</v>
      </c>
    </row>
    <row r="389" spans="2:8" s="1" customFormat="1" ht="51">
      <c r="B389" s="256" t="s">
        <v>2502</v>
      </c>
      <c r="C389" s="251" t="s">
        <v>675</v>
      </c>
      <c r="D389" s="3" t="s">
        <v>676</v>
      </c>
      <c r="E389" s="4" t="s">
        <v>37</v>
      </c>
      <c r="F389" s="5">
        <v>14</v>
      </c>
      <c r="G389" s="105">
        <v>420.98</v>
      </c>
      <c r="H389" s="8">
        <f t="shared" si="30"/>
        <v>5893.72</v>
      </c>
    </row>
    <row r="390" spans="2:8" s="1" customFormat="1" ht="51">
      <c r="B390" s="256" t="s">
        <v>2503</v>
      </c>
      <c r="C390" s="251" t="s">
        <v>677</v>
      </c>
      <c r="D390" s="3" t="s">
        <v>678</v>
      </c>
      <c r="E390" s="4" t="s">
        <v>37</v>
      </c>
      <c r="F390" s="5" t="s">
        <v>28</v>
      </c>
      <c r="G390" s="105">
        <v>348.65</v>
      </c>
      <c r="H390" s="8">
        <f t="shared" si="30"/>
        <v>15340.599999999999</v>
      </c>
    </row>
    <row r="391" spans="2:8" s="1" customFormat="1" ht="63.75">
      <c r="B391" s="256" t="s">
        <v>2504</v>
      </c>
      <c r="C391" s="251" t="s">
        <v>679</v>
      </c>
      <c r="D391" s="3" t="s">
        <v>680</v>
      </c>
      <c r="E391" s="4" t="s">
        <v>37</v>
      </c>
      <c r="F391" s="5" t="s">
        <v>358</v>
      </c>
      <c r="G391" s="105">
        <v>216</v>
      </c>
      <c r="H391" s="8">
        <f t="shared" si="30"/>
        <v>648</v>
      </c>
    </row>
    <row r="392" spans="2:8" s="1" customFormat="1" ht="38.25">
      <c r="B392" s="256" t="s">
        <v>2505</v>
      </c>
      <c r="C392" s="251" t="s">
        <v>681</v>
      </c>
      <c r="D392" s="3" t="s">
        <v>682</v>
      </c>
      <c r="E392" s="4" t="s">
        <v>37</v>
      </c>
      <c r="F392" s="5" t="s">
        <v>683</v>
      </c>
      <c r="G392" s="105">
        <v>90.91</v>
      </c>
      <c r="H392" s="8">
        <f t="shared" si="30"/>
        <v>2727.2999999999997</v>
      </c>
    </row>
    <row r="393" spans="2:8" s="1" customFormat="1" ht="51">
      <c r="B393" s="256" t="s">
        <v>2506</v>
      </c>
      <c r="C393" s="251" t="s">
        <v>684</v>
      </c>
      <c r="D393" s="3" t="s">
        <v>685</v>
      </c>
      <c r="E393" s="4" t="s">
        <v>37</v>
      </c>
      <c r="F393" s="5" t="s">
        <v>575</v>
      </c>
      <c r="G393" s="105">
        <v>618.05999999999995</v>
      </c>
      <c r="H393" s="8">
        <f t="shared" si="30"/>
        <v>5562.5399999999991</v>
      </c>
    </row>
    <row r="394" spans="2:8" s="1" customFormat="1" ht="25.5">
      <c r="B394" s="256" t="s">
        <v>2507</v>
      </c>
      <c r="C394" s="251" t="s">
        <v>686</v>
      </c>
      <c r="D394" s="3" t="s">
        <v>687</v>
      </c>
      <c r="E394" s="4" t="s">
        <v>37</v>
      </c>
      <c r="F394" s="5" t="s">
        <v>688</v>
      </c>
      <c r="G394" s="105">
        <v>32.04</v>
      </c>
      <c r="H394" s="8">
        <f t="shared" si="30"/>
        <v>1730.1599999999999</v>
      </c>
    </row>
    <row r="395" spans="2:8" s="1" customFormat="1" ht="38.25">
      <c r="B395" s="256" t="s">
        <v>2508</v>
      </c>
      <c r="C395" s="251" t="s">
        <v>689</v>
      </c>
      <c r="D395" s="3" t="s">
        <v>690</v>
      </c>
      <c r="E395" s="4" t="s">
        <v>37</v>
      </c>
      <c r="F395" s="5" t="s">
        <v>43</v>
      </c>
      <c r="G395" s="105">
        <v>71.27</v>
      </c>
      <c r="H395" s="8">
        <f t="shared" si="30"/>
        <v>2280.64</v>
      </c>
    </row>
    <row r="396" spans="2:8" s="212" customFormat="1" ht="15" customHeight="1">
      <c r="B396" s="250" t="s">
        <v>691</v>
      </c>
      <c r="C396" s="250"/>
      <c r="D396" s="268" t="s">
        <v>692</v>
      </c>
      <c r="E396" s="268"/>
      <c r="F396" s="268"/>
      <c r="G396" s="268"/>
      <c r="H396" s="271" t="s">
        <v>1155</v>
      </c>
    </row>
    <row r="397" spans="2:8" s="1" customFormat="1" ht="25.5" customHeight="1">
      <c r="B397" s="256" t="s">
        <v>2509</v>
      </c>
      <c r="C397" s="251" t="s">
        <v>2199</v>
      </c>
      <c r="D397" s="214" t="s">
        <v>693</v>
      </c>
      <c r="E397" s="4" t="s">
        <v>37</v>
      </c>
      <c r="F397" s="5" t="s">
        <v>367</v>
      </c>
      <c r="G397" s="105">
        <f>CPU!H985</f>
        <v>1842.0680985432602</v>
      </c>
      <c r="H397" s="8">
        <f t="shared" si="30"/>
        <v>3684.1361970865205</v>
      </c>
    </row>
    <row r="398" spans="2:8" s="1" customFormat="1" ht="15.75" customHeight="1">
      <c r="B398" s="256" t="s">
        <v>2510</v>
      </c>
      <c r="C398" s="251" t="s">
        <v>2221</v>
      </c>
      <c r="D398" s="214" t="s">
        <v>694</v>
      </c>
      <c r="E398" s="4" t="s">
        <v>37</v>
      </c>
      <c r="F398" s="5" t="s">
        <v>367</v>
      </c>
      <c r="G398" s="105">
        <v>73.02</v>
      </c>
      <c r="H398" s="8">
        <f t="shared" si="30"/>
        <v>146.04</v>
      </c>
    </row>
    <row r="399" spans="2:8" s="1" customFormat="1" ht="15" customHeight="1">
      <c r="B399" s="256"/>
      <c r="C399" s="251"/>
      <c r="D399" s="274" t="s">
        <v>1186</v>
      </c>
      <c r="E399" s="275"/>
      <c r="F399" s="276"/>
      <c r="G399" s="276"/>
      <c r="H399" s="277">
        <f>SUM(H379:H398)</f>
        <v>116780.2396736197</v>
      </c>
    </row>
    <row r="400" spans="2:8" s="212" customFormat="1" ht="15" customHeight="1">
      <c r="B400" s="244" t="s">
        <v>695</v>
      </c>
      <c r="C400" s="244"/>
      <c r="D400" s="245" t="s">
        <v>696</v>
      </c>
      <c r="E400" s="245"/>
      <c r="F400" s="245"/>
      <c r="G400" s="245"/>
      <c r="H400" s="279" t="s">
        <v>1155</v>
      </c>
    </row>
    <row r="401" spans="2:8" s="212" customFormat="1" ht="15" customHeight="1">
      <c r="B401" s="250" t="s">
        <v>697</v>
      </c>
      <c r="C401" s="250"/>
      <c r="D401" s="268" t="s">
        <v>698</v>
      </c>
      <c r="E401" s="268"/>
      <c r="F401" s="268"/>
      <c r="G401" s="268"/>
      <c r="H401" s="271" t="s">
        <v>1155</v>
      </c>
    </row>
    <row r="402" spans="2:8" s="1" customFormat="1" ht="38.25">
      <c r="B402" s="256" t="s">
        <v>2511</v>
      </c>
      <c r="C402" s="251" t="s">
        <v>2200</v>
      </c>
      <c r="D402" s="3" t="s">
        <v>699</v>
      </c>
      <c r="E402" s="4" t="s">
        <v>24</v>
      </c>
      <c r="F402" s="5" t="s">
        <v>700</v>
      </c>
      <c r="G402" s="105">
        <f>CPU!H993</f>
        <v>21.350875880640004</v>
      </c>
      <c r="H402" s="8">
        <f t="shared" si="30"/>
        <v>1558.6139392867203</v>
      </c>
    </row>
    <row r="403" spans="2:8" s="1" customFormat="1" ht="25.5" customHeight="1">
      <c r="B403" s="256" t="s">
        <v>2512</v>
      </c>
      <c r="C403" s="251" t="s">
        <v>2069</v>
      </c>
      <c r="D403" s="214" t="s">
        <v>701</v>
      </c>
      <c r="E403" s="4" t="s">
        <v>37</v>
      </c>
      <c r="F403" s="5" t="s">
        <v>588</v>
      </c>
      <c r="G403" s="105">
        <f>CPU!H999</f>
        <v>40.975000000000001</v>
      </c>
      <c r="H403" s="8">
        <f t="shared" si="30"/>
        <v>204.875</v>
      </c>
    </row>
    <row r="404" spans="2:8" s="1" customFormat="1" ht="25.5" customHeight="1">
      <c r="B404" s="256" t="s">
        <v>2513</v>
      </c>
      <c r="C404" s="251" t="s">
        <v>2070</v>
      </c>
      <c r="D404" s="214" t="s">
        <v>702</v>
      </c>
      <c r="E404" s="4" t="s">
        <v>37</v>
      </c>
      <c r="F404" s="5" t="s">
        <v>703</v>
      </c>
      <c r="G404" s="105">
        <f>CPU!H1005</f>
        <v>47.394999999999996</v>
      </c>
      <c r="H404" s="8">
        <f t="shared" si="30"/>
        <v>2938.49</v>
      </c>
    </row>
    <row r="405" spans="2:8" s="1" customFormat="1" ht="38.25">
      <c r="B405" s="256" t="s">
        <v>2514</v>
      </c>
      <c r="C405" s="251" t="s">
        <v>2222</v>
      </c>
      <c r="D405" s="3" t="s">
        <v>2226</v>
      </c>
      <c r="E405" s="4" t="s">
        <v>15</v>
      </c>
      <c r="F405" s="5" t="s">
        <v>704</v>
      </c>
      <c r="G405" s="105">
        <v>46.39</v>
      </c>
      <c r="H405" s="8">
        <f t="shared" si="30"/>
        <v>10669.7</v>
      </c>
    </row>
    <row r="406" spans="2:8" s="1" customFormat="1" ht="38.25">
      <c r="B406" s="256" t="s">
        <v>2515</v>
      </c>
      <c r="C406" s="251" t="s">
        <v>2223</v>
      </c>
      <c r="D406" s="3" t="s">
        <v>2227</v>
      </c>
      <c r="E406" s="4" t="s">
        <v>15</v>
      </c>
      <c r="F406" s="5" t="s">
        <v>705</v>
      </c>
      <c r="G406" s="105">
        <v>97.06</v>
      </c>
      <c r="H406" s="8">
        <f t="shared" si="30"/>
        <v>29215.06</v>
      </c>
    </row>
    <row r="407" spans="2:8" s="1" customFormat="1" ht="38.25">
      <c r="B407" s="256" t="s">
        <v>2516</v>
      </c>
      <c r="C407" s="251" t="s">
        <v>2224</v>
      </c>
      <c r="D407" s="3" t="s">
        <v>2228</v>
      </c>
      <c r="E407" s="4" t="s">
        <v>15</v>
      </c>
      <c r="F407" s="5" t="s">
        <v>706</v>
      </c>
      <c r="G407" s="105">
        <v>144.38</v>
      </c>
      <c r="H407" s="8">
        <f t="shared" si="30"/>
        <v>5919.58</v>
      </c>
    </row>
    <row r="408" spans="2:8" s="1" customFormat="1" ht="38.25">
      <c r="B408" s="256" t="s">
        <v>2517</v>
      </c>
      <c r="C408" s="251" t="s">
        <v>2225</v>
      </c>
      <c r="D408" s="3" t="s">
        <v>2229</v>
      </c>
      <c r="E408" s="4" t="s">
        <v>15</v>
      </c>
      <c r="F408" s="5" t="s">
        <v>707</v>
      </c>
      <c r="G408" s="105">
        <v>243.73</v>
      </c>
      <c r="H408" s="8">
        <f t="shared" si="30"/>
        <v>50208.38</v>
      </c>
    </row>
    <row r="409" spans="2:8" s="212" customFormat="1" ht="15" customHeight="1">
      <c r="B409" s="250" t="s">
        <v>708</v>
      </c>
      <c r="C409" s="250"/>
      <c r="D409" s="268" t="s">
        <v>709</v>
      </c>
      <c r="E409" s="268"/>
      <c r="F409" s="268"/>
      <c r="G409" s="268"/>
      <c r="H409" s="271" t="s">
        <v>1155</v>
      </c>
    </row>
    <row r="410" spans="2:8" s="1" customFormat="1" ht="51">
      <c r="B410" s="256" t="s">
        <v>2518</v>
      </c>
      <c r="C410" s="251" t="s">
        <v>710</v>
      </c>
      <c r="D410" s="3" t="s">
        <v>711</v>
      </c>
      <c r="E410" s="4" t="s">
        <v>37</v>
      </c>
      <c r="F410" s="5" t="s">
        <v>712</v>
      </c>
      <c r="G410" s="105">
        <v>432.79</v>
      </c>
      <c r="H410" s="8">
        <f t="shared" si="30"/>
        <v>8223.01</v>
      </c>
    </row>
    <row r="411" spans="2:8" s="1" customFormat="1" ht="51">
      <c r="B411" s="256" t="s">
        <v>2519</v>
      </c>
      <c r="C411" s="251" t="s">
        <v>713</v>
      </c>
      <c r="D411" s="3" t="s">
        <v>714</v>
      </c>
      <c r="E411" s="4" t="s">
        <v>37</v>
      </c>
      <c r="F411" s="5" t="s">
        <v>715</v>
      </c>
      <c r="G411" s="105">
        <v>728.49</v>
      </c>
      <c r="H411" s="8">
        <f t="shared" si="30"/>
        <v>8013.39</v>
      </c>
    </row>
    <row r="412" spans="2:8" s="212" customFormat="1" ht="15" customHeight="1">
      <c r="B412" s="250" t="s">
        <v>716</v>
      </c>
      <c r="C412" s="250"/>
      <c r="D412" s="268" t="s">
        <v>717</v>
      </c>
      <c r="E412" s="268"/>
      <c r="F412" s="268"/>
      <c r="G412" s="268"/>
      <c r="H412" s="271" t="s">
        <v>1155</v>
      </c>
    </row>
    <row r="413" spans="2:8" s="1" customFormat="1" ht="26.25" customHeight="1">
      <c r="B413" s="256" t="s">
        <v>2520</v>
      </c>
      <c r="C413" s="251" t="s">
        <v>718</v>
      </c>
      <c r="D413" s="3" t="s">
        <v>719</v>
      </c>
      <c r="E413" s="4" t="s">
        <v>75</v>
      </c>
      <c r="F413" s="5" t="s">
        <v>720</v>
      </c>
      <c r="G413" s="105">
        <v>73.77</v>
      </c>
      <c r="H413" s="8">
        <f t="shared" si="30"/>
        <v>16819.559999999998</v>
      </c>
    </row>
    <row r="414" spans="2:8" s="1" customFormat="1" ht="25.5">
      <c r="B414" s="256" t="s">
        <v>2521</v>
      </c>
      <c r="C414" s="251" t="s">
        <v>133</v>
      </c>
      <c r="D414" s="214" t="s">
        <v>134</v>
      </c>
      <c r="E414" s="4" t="s">
        <v>75</v>
      </c>
      <c r="F414" s="5" t="s">
        <v>721</v>
      </c>
      <c r="G414" s="105">
        <v>44.73</v>
      </c>
      <c r="H414" s="8">
        <f t="shared" si="30"/>
        <v>9393.2999999999993</v>
      </c>
    </row>
    <row r="415" spans="2:8" s="1" customFormat="1" ht="24.95" customHeight="1">
      <c r="B415" s="250" t="s">
        <v>2522</v>
      </c>
      <c r="C415" s="250"/>
      <c r="D415" s="281" t="s">
        <v>2730</v>
      </c>
      <c r="E415" s="288"/>
      <c r="F415" s="289"/>
      <c r="G415" s="289"/>
      <c r="H415" s="282"/>
    </row>
    <row r="416" spans="2:8" s="1" customFormat="1" ht="25.5">
      <c r="B416" s="256" t="s">
        <v>2523</v>
      </c>
      <c r="C416" s="251" t="s">
        <v>2071</v>
      </c>
      <c r="D416" s="219" t="s">
        <v>1895</v>
      </c>
      <c r="E416" s="4" t="s">
        <v>15</v>
      </c>
      <c r="F416" s="5">
        <v>185.14</v>
      </c>
      <c r="G416" s="105">
        <f>CPU!H1014</f>
        <v>202.60160400000001</v>
      </c>
      <c r="H416" s="8">
        <f t="shared" ref="H416:H421" si="31">F416*G416</f>
        <v>37509.660964559997</v>
      </c>
    </row>
    <row r="417" spans="2:8" s="1" customFormat="1" ht="25.5">
      <c r="B417" s="256" t="s">
        <v>2524</v>
      </c>
      <c r="C417" s="251" t="s">
        <v>2072</v>
      </c>
      <c r="D417" s="219" t="s">
        <v>1901</v>
      </c>
      <c r="E417" s="4" t="s">
        <v>663</v>
      </c>
      <c r="F417" s="5">
        <v>1</v>
      </c>
      <c r="G417" s="105">
        <f>CPU!H1039</f>
        <v>169458.88212600967</v>
      </c>
      <c r="H417" s="8">
        <f t="shared" si="31"/>
        <v>169458.88212600967</v>
      </c>
    </row>
    <row r="418" spans="2:8" s="1" customFormat="1" ht="25.5">
      <c r="B418" s="256" t="s">
        <v>2525</v>
      </c>
      <c r="C418" s="251" t="s">
        <v>2077</v>
      </c>
      <c r="D418" s="448" t="s">
        <v>1910</v>
      </c>
      <c r="E418" s="4" t="s">
        <v>15</v>
      </c>
      <c r="F418" s="5">
        <v>198.35</v>
      </c>
      <c r="G418" s="105">
        <f>CPU!H1052</f>
        <v>412.91848369999997</v>
      </c>
      <c r="H418" s="8">
        <f t="shared" si="31"/>
        <v>81902.381241894996</v>
      </c>
    </row>
    <row r="419" spans="2:8" s="1" customFormat="1" ht="25.5">
      <c r="B419" s="256" t="s">
        <v>2526</v>
      </c>
      <c r="C419" s="251" t="s">
        <v>2078</v>
      </c>
      <c r="D419" s="219" t="s">
        <v>1914</v>
      </c>
      <c r="E419" s="4" t="s">
        <v>37</v>
      </c>
      <c r="F419" s="5">
        <v>21</v>
      </c>
      <c r="G419" s="105">
        <f>CPU!H1062</f>
        <v>946.8460874000001</v>
      </c>
      <c r="H419" s="8">
        <f t="shared" si="31"/>
        <v>19883.767835400002</v>
      </c>
    </row>
    <row r="420" spans="2:8" s="1" customFormat="1" ht="25.5">
      <c r="B420" s="256" t="s">
        <v>2527</v>
      </c>
      <c r="C420" s="251" t="s">
        <v>2081</v>
      </c>
      <c r="D420" s="219" t="s">
        <v>1921</v>
      </c>
      <c r="E420" s="4" t="s">
        <v>15</v>
      </c>
      <c r="F420" s="5">
        <v>26.5</v>
      </c>
      <c r="G420" s="105">
        <f>CPU!H1073</f>
        <v>261.55309999999997</v>
      </c>
      <c r="H420" s="8">
        <f t="shared" si="31"/>
        <v>6931.1571499999991</v>
      </c>
    </row>
    <row r="421" spans="2:8" s="1" customFormat="1" ht="51">
      <c r="B421" s="256" t="s">
        <v>2528</v>
      </c>
      <c r="C421" s="251" t="s">
        <v>2087</v>
      </c>
      <c r="D421" s="219" t="s">
        <v>1926</v>
      </c>
      <c r="E421" s="4" t="s">
        <v>15</v>
      </c>
      <c r="F421" s="5">
        <v>26.5</v>
      </c>
      <c r="G421" s="105">
        <f>CPU!H1080</f>
        <v>522.83273999999994</v>
      </c>
      <c r="H421" s="8">
        <f t="shared" si="31"/>
        <v>13855.067609999998</v>
      </c>
    </row>
    <row r="422" spans="2:8" s="1" customFormat="1" ht="15" customHeight="1">
      <c r="B422" s="256"/>
      <c r="C422" s="278"/>
      <c r="D422" s="274" t="s">
        <v>1187</v>
      </c>
      <c r="E422" s="275"/>
      <c r="F422" s="276"/>
      <c r="G422" s="276"/>
      <c r="H422" s="277">
        <f>SUM(H402:H421)</f>
        <v>472704.87586715131</v>
      </c>
    </row>
    <row r="423" spans="2:8" s="212" customFormat="1" ht="15" customHeight="1">
      <c r="B423" s="244" t="s">
        <v>722</v>
      </c>
      <c r="C423" s="244"/>
      <c r="D423" s="245" t="s">
        <v>723</v>
      </c>
      <c r="E423" s="245"/>
      <c r="F423" s="245"/>
      <c r="G423" s="245"/>
      <c r="H423" s="279" t="s">
        <v>1155</v>
      </c>
    </row>
    <row r="424" spans="2:8" s="212" customFormat="1" ht="15" customHeight="1">
      <c r="B424" s="250" t="s">
        <v>724</v>
      </c>
      <c r="C424" s="250"/>
      <c r="D424" s="268" t="s">
        <v>698</v>
      </c>
      <c r="E424" s="268"/>
      <c r="F424" s="268"/>
      <c r="G424" s="268"/>
      <c r="H424" s="271" t="s">
        <v>1155</v>
      </c>
    </row>
    <row r="425" spans="2:8" s="1" customFormat="1" ht="25.5">
      <c r="B425" s="256" t="s">
        <v>2529</v>
      </c>
      <c r="C425" s="251" t="s">
        <v>2088</v>
      </c>
      <c r="D425" s="3" t="s">
        <v>725</v>
      </c>
      <c r="E425" s="4" t="s">
        <v>37</v>
      </c>
      <c r="F425" s="5" t="s">
        <v>367</v>
      </c>
      <c r="G425" s="105">
        <f>CPU!H1088</f>
        <v>65.198453500279996</v>
      </c>
      <c r="H425" s="8">
        <f t="shared" ref="H425:H446" si="32">F425*G425</f>
        <v>130.39690700055999</v>
      </c>
    </row>
    <row r="426" spans="2:8" s="1" customFormat="1" ht="25.5">
      <c r="B426" s="256" t="s">
        <v>2530</v>
      </c>
      <c r="C426" s="251" t="s">
        <v>2201</v>
      </c>
      <c r="D426" s="3" t="s">
        <v>726</v>
      </c>
      <c r="E426" s="4" t="s">
        <v>37</v>
      </c>
      <c r="F426" s="5" t="s">
        <v>611</v>
      </c>
      <c r="G426" s="105">
        <f>CPU!H1096</f>
        <v>17.856549999999999</v>
      </c>
      <c r="H426" s="8">
        <f t="shared" si="32"/>
        <v>142.85239999999999</v>
      </c>
    </row>
    <row r="427" spans="2:8" s="1" customFormat="1" ht="38.25">
      <c r="B427" s="256" t="s">
        <v>2531</v>
      </c>
      <c r="C427" s="251" t="s">
        <v>727</v>
      </c>
      <c r="D427" s="3" t="s">
        <v>728</v>
      </c>
      <c r="E427" s="4" t="s">
        <v>37</v>
      </c>
      <c r="F427" s="5" t="s">
        <v>729</v>
      </c>
      <c r="G427" s="105">
        <v>15.04</v>
      </c>
      <c r="H427" s="8">
        <f t="shared" si="32"/>
        <v>1383.6799999999998</v>
      </c>
    </row>
    <row r="428" spans="2:8" s="1" customFormat="1" ht="38.25">
      <c r="B428" s="256" t="s">
        <v>2532</v>
      </c>
      <c r="C428" s="251" t="s">
        <v>730</v>
      </c>
      <c r="D428" s="3" t="s">
        <v>731</v>
      </c>
      <c r="E428" s="4" t="s">
        <v>37</v>
      </c>
      <c r="F428" s="5" t="s">
        <v>732</v>
      </c>
      <c r="G428" s="105">
        <v>21.09</v>
      </c>
      <c r="H428" s="8">
        <f t="shared" si="32"/>
        <v>970.14</v>
      </c>
    </row>
    <row r="429" spans="2:8" s="1" customFormat="1" ht="38.25">
      <c r="B429" s="256" t="s">
        <v>2533</v>
      </c>
      <c r="C429" s="251" t="s">
        <v>733</v>
      </c>
      <c r="D429" s="3" t="s">
        <v>734</v>
      </c>
      <c r="E429" s="4" t="s">
        <v>37</v>
      </c>
      <c r="F429" s="5" t="s">
        <v>735</v>
      </c>
      <c r="G429" s="105">
        <v>25.95</v>
      </c>
      <c r="H429" s="8">
        <f t="shared" si="32"/>
        <v>2828.5499999999997</v>
      </c>
    </row>
    <row r="430" spans="2:8" s="1" customFormat="1" ht="38.25">
      <c r="B430" s="256" t="s">
        <v>2534</v>
      </c>
      <c r="C430" s="251" t="s">
        <v>736</v>
      </c>
      <c r="D430" s="3" t="s">
        <v>737</v>
      </c>
      <c r="E430" s="4" t="s">
        <v>37</v>
      </c>
      <c r="F430" s="5" t="s">
        <v>14</v>
      </c>
      <c r="G430" s="105">
        <v>14.07</v>
      </c>
      <c r="H430" s="8">
        <f t="shared" si="32"/>
        <v>140.69999999999999</v>
      </c>
    </row>
    <row r="431" spans="2:8" s="1" customFormat="1" ht="38.25" customHeight="1">
      <c r="B431" s="256" t="s">
        <v>2535</v>
      </c>
      <c r="C431" s="251" t="s">
        <v>738</v>
      </c>
      <c r="D431" s="3" t="s">
        <v>739</v>
      </c>
      <c r="E431" s="4" t="s">
        <v>37</v>
      </c>
      <c r="F431" s="5" t="s">
        <v>38</v>
      </c>
      <c r="G431" s="105">
        <v>57.73</v>
      </c>
      <c r="H431" s="8">
        <f t="shared" si="32"/>
        <v>57.73</v>
      </c>
    </row>
    <row r="432" spans="2:8" s="1" customFormat="1" ht="39" customHeight="1">
      <c r="B432" s="256" t="s">
        <v>2536</v>
      </c>
      <c r="C432" s="251" t="s">
        <v>740</v>
      </c>
      <c r="D432" s="3" t="s">
        <v>741</v>
      </c>
      <c r="E432" s="4" t="s">
        <v>37</v>
      </c>
      <c r="F432" s="5" t="s">
        <v>742</v>
      </c>
      <c r="G432" s="105">
        <v>86.18</v>
      </c>
      <c r="H432" s="8">
        <f t="shared" si="32"/>
        <v>3274.84</v>
      </c>
    </row>
    <row r="433" spans="2:8" s="1" customFormat="1" ht="37.5" customHeight="1">
      <c r="B433" s="256" t="s">
        <v>2537</v>
      </c>
      <c r="C433" s="251" t="s">
        <v>743</v>
      </c>
      <c r="D433" s="3" t="s">
        <v>744</v>
      </c>
      <c r="E433" s="4" t="s">
        <v>37</v>
      </c>
      <c r="F433" s="5" t="s">
        <v>358</v>
      </c>
      <c r="G433" s="105">
        <v>81.319999999999993</v>
      </c>
      <c r="H433" s="8">
        <f t="shared" si="32"/>
        <v>243.95999999999998</v>
      </c>
    </row>
    <row r="434" spans="2:8" s="1" customFormat="1" ht="38.25">
      <c r="B434" s="256" t="s">
        <v>2538</v>
      </c>
      <c r="C434" s="251" t="s">
        <v>745</v>
      </c>
      <c r="D434" s="3" t="s">
        <v>746</v>
      </c>
      <c r="E434" s="4" t="s">
        <v>37</v>
      </c>
      <c r="F434" s="5" t="s">
        <v>614</v>
      </c>
      <c r="G434" s="105">
        <v>78.89</v>
      </c>
      <c r="H434" s="8">
        <f t="shared" si="32"/>
        <v>1656.69</v>
      </c>
    </row>
    <row r="435" spans="2:8" s="1" customFormat="1" ht="38.25">
      <c r="B435" s="256" t="s">
        <v>2539</v>
      </c>
      <c r="C435" s="251" t="s">
        <v>747</v>
      </c>
      <c r="D435" s="3" t="s">
        <v>748</v>
      </c>
      <c r="E435" s="4" t="s">
        <v>15</v>
      </c>
      <c r="F435" s="5" t="s">
        <v>749</v>
      </c>
      <c r="G435" s="105">
        <v>19.739999999999998</v>
      </c>
      <c r="H435" s="8">
        <f t="shared" si="32"/>
        <v>3454.4999999999995</v>
      </c>
    </row>
    <row r="436" spans="2:8" s="1" customFormat="1" ht="39" customHeight="1">
      <c r="B436" s="256" t="s">
        <v>2540</v>
      </c>
      <c r="C436" s="251" t="s">
        <v>750</v>
      </c>
      <c r="D436" s="3" t="s">
        <v>751</v>
      </c>
      <c r="E436" s="4" t="s">
        <v>15</v>
      </c>
      <c r="F436" s="5" t="s">
        <v>453</v>
      </c>
      <c r="G436" s="105">
        <v>29.86</v>
      </c>
      <c r="H436" s="8">
        <f t="shared" si="32"/>
        <v>12541.199999999999</v>
      </c>
    </row>
    <row r="437" spans="2:8" s="1" customFormat="1" ht="39" customHeight="1">
      <c r="B437" s="256" t="s">
        <v>2541</v>
      </c>
      <c r="C437" s="251" t="s">
        <v>752</v>
      </c>
      <c r="D437" s="3" t="s">
        <v>753</v>
      </c>
      <c r="E437" s="4" t="s">
        <v>15</v>
      </c>
      <c r="F437" s="5" t="s">
        <v>754</v>
      </c>
      <c r="G437" s="105">
        <v>45.44</v>
      </c>
      <c r="H437" s="8">
        <f t="shared" si="32"/>
        <v>7270.4</v>
      </c>
    </row>
    <row r="438" spans="2:8" s="1" customFormat="1" ht="39.75" customHeight="1">
      <c r="B438" s="256" t="s">
        <v>2542</v>
      </c>
      <c r="C438" s="251" t="s">
        <v>755</v>
      </c>
      <c r="D438" s="3" t="s">
        <v>756</v>
      </c>
      <c r="E438" s="4" t="s">
        <v>15</v>
      </c>
      <c r="F438" s="5" t="s">
        <v>757</v>
      </c>
      <c r="G438" s="105">
        <v>57.94</v>
      </c>
      <c r="H438" s="8">
        <f t="shared" si="32"/>
        <v>46641.7</v>
      </c>
    </row>
    <row r="439" spans="2:8" s="1" customFormat="1" ht="51">
      <c r="B439" s="256" t="s">
        <v>2543</v>
      </c>
      <c r="C439" s="251" t="s">
        <v>758</v>
      </c>
      <c r="D439" s="3" t="s">
        <v>759</v>
      </c>
      <c r="E439" s="4" t="s">
        <v>37</v>
      </c>
      <c r="F439" s="5" t="s">
        <v>760</v>
      </c>
      <c r="G439" s="105">
        <v>10.52</v>
      </c>
      <c r="H439" s="8">
        <f t="shared" si="32"/>
        <v>1809.4399999999998</v>
      </c>
    </row>
    <row r="440" spans="2:8" s="1" customFormat="1" ht="51">
      <c r="B440" s="256" t="s">
        <v>2544</v>
      </c>
      <c r="C440" s="251" t="s">
        <v>761</v>
      </c>
      <c r="D440" s="3" t="s">
        <v>762</v>
      </c>
      <c r="E440" s="4" t="s">
        <v>37</v>
      </c>
      <c r="F440" s="5" t="s">
        <v>25</v>
      </c>
      <c r="G440" s="105">
        <v>7.48</v>
      </c>
      <c r="H440" s="8">
        <f t="shared" si="32"/>
        <v>201.96</v>
      </c>
    </row>
    <row r="441" spans="2:8" s="1" customFormat="1" ht="51">
      <c r="B441" s="256" t="s">
        <v>2545</v>
      </c>
      <c r="C441" s="251" t="s">
        <v>763</v>
      </c>
      <c r="D441" s="3" t="s">
        <v>764</v>
      </c>
      <c r="E441" s="4" t="s">
        <v>37</v>
      </c>
      <c r="F441" s="5" t="s">
        <v>765</v>
      </c>
      <c r="G441" s="105">
        <v>41.44</v>
      </c>
      <c r="H441" s="8">
        <f t="shared" si="32"/>
        <v>5180</v>
      </c>
    </row>
    <row r="442" spans="2:8" s="1" customFormat="1" ht="51">
      <c r="B442" s="256" t="s">
        <v>2546</v>
      </c>
      <c r="C442" s="251" t="s">
        <v>766</v>
      </c>
      <c r="D442" s="3" t="s">
        <v>767</v>
      </c>
      <c r="E442" s="4" t="s">
        <v>37</v>
      </c>
      <c r="F442" s="5" t="s">
        <v>523</v>
      </c>
      <c r="G442" s="105">
        <v>7.26</v>
      </c>
      <c r="H442" s="8">
        <f t="shared" si="32"/>
        <v>660.66</v>
      </c>
    </row>
    <row r="443" spans="2:8" s="1" customFormat="1" ht="51">
      <c r="B443" s="256" t="s">
        <v>2547</v>
      </c>
      <c r="C443" s="251" t="s">
        <v>768</v>
      </c>
      <c r="D443" s="3" t="s">
        <v>769</v>
      </c>
      <c r="E443" s="4" t="s">
        <v>37</v>
      </c>
      <c r="F443" s="5" t="s">
        <v>683</v>
      </c>
      <c r="G443" s="105">
        <v>7.98</v>
      </c>
      <c r="H443" s="8">
        <f t="shared" si="32"/>
        <v>239.4</v>
      </c>
    </row>
    <row r="444" spans="2:8" s="1" customFormat="1" ht="51">
      <c r="B444" s="256" t="s">
        <v>2548</v>
      </c>
      <c r="C444" s="251" t="s">
        <v>770</v>
      </c>
      <c r="D444" s="3" t="s">
        <v>771</v>
      </c>
      <c r="E444" s="4" t="s">
        <v>37</v>
      </c>
      <c r="F444" s="5" t="s">
        <v>46</v>
      </c>
      <c r="G444" s="105">
        <v>14.93</v>
      </c>
      <c r="H444" s="8">
        <f t="shared" si="32"/>
        <v>238.88</v>
      </c>
    </row>
    <row r="445" spans="2:8" s="1" customFormat="1" ht="51">
      <c r="B445" s="256" t="s">
        <v>2549</v>
      </c>
      <c r="C445" s="251" t="s">
        <v>772</v>
      </c>
      <c r="D445" s="3" t="s">
        <v>773</v>
      </c>
      <c r="E445" s="4" t="s">
        <v>37</v>
      </c>
      <c r="F445" s="5" t="s">
        <v>34</v>
      </c>
      <c r="G445" s="105">
        <v>15.96</v>
      </c>
      <c r="H445" s="8">
        <f t="shared" si="32"/>
        <v>287.28000000000003</v>
      </c>
    </row>
    <row r="446" spans="2:8" s="1" customFormat="1" ht="51">
      <c r="B446" s="256" t="s">
        <v>2550</v>
      </c>
      <c r="C446" s="251" t="s">
        <v>774</v>
      </c>
      <c r="D446" s="3" t="s">
        <v>775</v>
      </c>
      <c r="E446" s="4" t="s">
        <v>37</v>
      </c>
      <c r="F446" s="5" t="s">
        <v>776</v>
      </c>
      <c r="G446" s="105">
        <v>19.760000000000002</v>
      </c>
      <c r="H446" s="8">
        <f t="shared" si="32"/>
        <v>1185.6000000000001</v>
      </c>
    </row>
    <row r="447" spans="2:8" s="212" customFormat="1" ht="15" customHeight="1">
      <c r="B447" s="250" t="s">
        <v>777</v>
      </c>
      <c r="C447" s="250"/>
      <c r="D447" s="268" t="s">
        <v>778</v>
      </c>
      <c r="E447" s="268"/>
      <c r="F447" s="268"/>
      <c r="G447" s="268"/>
      <c r="H447" s="269"/>
    </row>
    <row r="448" spans="2:8" s="1" customFormat="1" ht="25.5">
      <c r="B448" s="251" t="s">
        <v>2551</v>
      </c>
      <c r="C448" s="251">
        <v>11315</v>
      </c>
      <c r="D448" s="3" t="s">
        <v>779</v>
      </c>
      <c r="E448" s="4" t="s">
        <v>37</v>
      </c>
      <c r="F448" s="5" t="s">
        <v>311</v>
      </c>
      <c r="G448" s="105">
        <v>158.13</v>
      </c>
      <c r="H448" s="8">
        <f t="shared" ref="H448:H456" si="33">F448*G448</f>
        <v>3795.12</v>
      </c>
    </row>
    <row r="449" spans="2:8" s="1" customFormat="1" ht="25.5">
      <c r="B449" s="251" t="s">
        <v>2552</v>
      </c>
      <c r="C449" s="251" t="s">
        <v>2202</v>
      </c>
      <c r="D449" s="214" t="s">
        <v>780</v>
      </c>
      <c r="E449" s="4" t="s">
        <v>37</v>
      </c>
      <c r="F449" s="5" t="s">
        <v>311</v>
      </c>
      <c r="G449" s="105">
        <f>CPU!H1103</f>
        <v>101.74282689349999</v>
      </c>
      <c r="H449" s="8">
        <f t="shared" si="33"/>
        <v>2441.8278454439996</v>
      </c>
    </row>
    <row r="450" spans="2:8" s="1" customFormat="1" ht="51">
      <c r="B450" s="251" t="s">
        <v>2553</v>
      </c>
      <c r="C450" s="251" t="s">
        <v>781</v>
      </c>
      <c r="D450" s="3" t="s">
        <v>782</v>
      </c>
      <c r="E450" s="4" t="s">
        <v>37</v>
      </c>
      <c r="F450" s="5" t="s">
        <v>46</v>
      </c>
      <c r="G450" s="105">
        <v>444.54</v>
      </c>
      <c r="H450" s="8">
        <f t="shared" si="33"/>
        <v>7112.64</v>
      </c>
    </row>
    <row r="451" spans="2:8" s="1" customFormat="1" ht="37.5" customHeight="1">
      <c r="B451" s="251" t="s">
        <v>2554</v>
      </c>
      <c r="C451" s="251" t="s">
        <v>783</v>
      </c>
      <c r="D451" s="3" t="s">
        <v>784</v>
      </c>
      <c r="E451" s="4" t="s">
        <v>37</v>
      </c>
      <c r="F451" s="5" t="s">
        <v>611</v>
      </c>
      <c r="G451" s="105">
        <v>751.15</v>
      </c>
      <c r="H451" s="8">
        <f t="shared" si="33"/>
        <v>6009.2</v>
      </c>
    </row>
    <row r="452" spans="2:8" s="1" customFormat="1" ht="38.25">
      <c r="B452" s="251" t="s">
        <v>2555</v>
      </c>
      <c r="C452" s="251" t="s">
        <v>785</v>
      </c>
      <c r="D452" s="3" t="s">
        <v>786</v>
      </c>
      <c r="E452" s="4" t="s">
        <v>37</v>
      </c>
      <c r="F452" s="5" t="s">
        <v>38</v>
      </c>
      <c r="G452" s="105">
        <v>161.47</v>
      </c>
      <c r="H452" s="8">
        <f t="shared" si="33"/>
        <v>161.47</v>
      </c>
    </row>
    <row r="453" spans="2:8" s="1" customFormat="1" ht="51">
      <c r="B453" s="251" t="s">
        <v>2556</v>
      </c>
      <c r="C453" s="251" t="s">
        <v>787</v>
      </c>
      <c r="D453" s="3" t="s">
        <v>788</v>
      </c>
      <c r="E453" s="4" t="s">
        <v>37</v>
      </c>
      <c r="F453" s="5" t="s">
        <v>358</v>
      </c>
      <c r="G453" s="105">
        <v>412.38</v>
      </c>
      <c r="H453" s="8">
        <f t="shared" si="33"/>
        <v>1237.1399999999999</v>
      </c>
    </row>
    <row r="454" spans="2:8" s="212" customFormat="1" ht="15" customHeight="1">
      <c r="B454" s="250" t="s">
        <v>789</v>
      </c>
      <c r="C454" s="250"/>
      <c r="D454" s="268" t="s">
        <v>717</v>
      </c>
      <c r="E454" s="268"/>
      <c r="F454" s="268"/>
      <c r="G454" s="268"/>
      <c r="H454" s="271" t="s">
        <v>1155</v>
      </c>
    </row>
    <row r="455" spans="2:8" s="1" customFormat="1" ht="25.5" customHeight="1">
      <c r="B455" s="251" t="s">
        <v>2557</v>
      </c>
      <c r="C455" s="251" t="s">
        <v>718</v>
      </c>
      <c r="D455" s="3" t="s">
        <v>719</v>
      </c>
      <c r="E455" s="4" t="s">
        <v>75</v>
      </c>
      <c r="F455" s="5" t="s">
        <v>790</v>
      </c>
      <c r="G455" s="105">
        <v>73.77</v>
      </c>
      <c r="H455" s="8">
        <f t="shared" si="33"/>
        <v>12393.359999999999</v>
      </c>
    </row>
    <row r="456" spans="2:8" s="1" customFormat="1" ht="25.5">
      <c r="B456" s="251" t="s">
        <v>2558</v>
      </c>
      <c r="C456" s="251" t="s">
        <v>133</v>
      </c>
      <c r="D456" s="214" t="s">
        <v>134</v>
      </c>
      <c r="E456" s="4" t="s">
        <v>75</v>
      </c>
      <c r="F456" s="5" t="s">
        <v>791</v>
      </c>
      <c r="G456" s="105">
        <v>44.73</v>
      </c>
      <c r="H456" s="8">
        <f t="shared" si="33"/>
        <v>7201.53</v>
      </c>
    </row>
    <row r="457" spans="2:8" s="1" customFormat="1" ht="15" customHeight="1">
      <c r="B457" s="251"/>
      <c r="C457" s="251"/>
      <c r="D457" s="274" t="s">
        <v>1188</v>
      </c>
      <c r="E457" s="275"/>
      <c r="F457" s="276"/>
      <c r="G457" s="276"/>
      <c r="H457" s="277">
        <f>SUM(H425:H456)</f>
        <v>130892.84715244456</v>
      </c>
    </row>
    <row r="458" spans="2:8" s="212" customFormat="1" ht="20.100000000000001" customHeight="1">
      <c r="B458" s="253"/>
      <c r="C458" s="259"/>
      <c r="D458" s="260" t="s">
        <v>2798</v>
      </c>
      <c r="E458" s="261"/>
      <c r="F458" s="262"/>
      <c r="G458" s="262"/>
      <c r="H458" s="263">
        <f>H377+H399+H422+H457</f>
        <v>749183.38595426606</v>
      </c>
    </row>
    <row r="459" spans="2:8" s="212" customFormat="1" ht="20.100000000000001" customHeight="1">
      <c r="B459" s="257" t="s">
        <v>792</v>
      </c>
      <c r="C459" s="257"/>
      <c r="D459" s="286" t="s">
        <v>793</v>
      </c>
      <c r="E459" s="286"/>
      <c r="F459" s="286"/>
      <c r="G459" s="286"/>
      <c r="H459" s="287" t="s">
        <v>1155</v>
      </c>
    </row>
    <row r="460" spans="2:8" s="212" customFormat="1" ht="15" customHeight="1">
      <c r="B460" s="244" t="s">
        <v>794</v>
      </c>
      <c r="C460" s="244"/>
      <c r="D460" s="245" t="s">
        <v>795</v>
      </c>
      <c r="E460" s="245"/>
      <c r="F460" s="245"/>
      <c r="G460" s="245"/>
      <c r="H460" s="279" t="s">
        <v>1155</v>
      </c>
    </row>
    <row r="461" spans="2:8" s="212" customFormat="1" ht="15" customHeight="1">
      <c r="B461" s="250" t="s">
        <v>796</v>
      </c>
      <c r="C461" s="250"/>
      <c r="D461" s="268" t="s">
        <v>797</v>
      </c>
      <c r="E461" s="268"/>
      <c r="F461" s="268"/>
      <c r="G461" s="268"/>
      <c r="H461" s="271" t="s">
        <v>1155</v>
      </c>
    </row>
    <row r="462" spans="2:8" s="1" customFormat="1" ht="25.5">
      <c r="B462" s="251" t="s">
        <v>2559</v>
      </c>
      <c r="C462" s="251" t="s">
        <v>2091</v>
      </c>
      <c r="D462" s="214" t="s">
        <v>798</v>
      </c>
      <c r="E462" s="4" t="s">
        <v>663</v>
      </c>
      <c r="F462" s="5" t="s">
        <v>38</v>
      </c>
      <c r="G462" s="105">
        <f>CPU!H1116</f>
        <v>7241.0757056733191</v>
      </c>
      <c r="H462" s="8">
        <f t="shared" ref="H462:H472" si="34">F462*G462</f>
        <v>7241.0757056733191</v>
      </c>
    </row>
    <row r="463" spans="2:8" s="212" customFormat="1" ht="15" customHeight="1">
      <c r="B463" s="250" t="s">
        <v>799</v>
      </c>
      <c r="C463" s="250"/>
      <c r="D463" s="268" t="s">
        <v>800</v>
      </c>
      <c r="E463" s="268"/>
      <c r="F463" s="268"/>
      <c r="G463" s="268"/>
      <c r="H463" s="271" t="s">
        <v>1155</v>
      </c>
    </row>
    <row r="464" spans="2:8" s="1" customFormat="1" ht="38.25">
      <c r="B464" s="251" t="s">
        <v>2560</v>
      </c>
      <c r="C464" s="251" t="s">
        <v>801</v>
      </c>
      <c r="D464" s="3" t="s">
        <v>802</v>
      </c>
      <c r="E464" s="4" t="s">
        <v>15</v>
      </c>
      <c r="F464" s="5" t="s">
        <v>803</v>
      </c>
      <c r="G464" s="105">
        <v>269.57</v>
      </c>
      <c r="H464" s="8">
        <f t="shared" si="34"/>
        <v>49870.45</v>
      </c>
    </row>
    <row r="465" spans="2:8" s="1" customFormat="1" ht="15" customHeight="1">
      <c r="B465" s="250" t="s">
        <v>804</v>
      </c>
      <c r="C465" s="250"/>
      <c r="D465" s="281" t="s">
        <v>805</v>
      </c>
      <c r="E465" s="281"/>
      <c r="F465" s="281"/>
      <c r="G465" s="281"/>
      <c r="H465" s="282" t="s">
        <v>1155</v>
      </c>
    </row>
    <row r="466" spans="2:8" s="1" customFormat="1" ht="25.5">
      <c r="B466" s="251" t="s">
        <v>2561</v>
      </c>
      <c r="C466" s="251" t="s">
        <v>806</v>
      </c>
      <c r="D466" s="3" t="s">
        <v>807</v>
      </c>
      <c r="E466" s="4" t="s">
        <v>15</v>
      </c>
      <c r="F466" s="5" t="s">
        <v>808</v>
      </c>
      <c r="G466" s="105">
        <v>69.069999999999993</v>
      </c>
      <c r="H466" s="8">
        <f t="shared" si="34"/>
        <v>2141.1699999999996</v>
      </c>
    </row>
    <row r="467" spans="2:8" s="1" customFormat="1" ht="26.25" customHeight="1">
      <c r="B467" s="251" t="s">
        <v>2562</v>
      </c>
      <c r="C467" s="251" t="s">
        <v>809</v>
      </c>
      <c r="D467" s="3" t="s">
        <v>810</v>
      </c>
      <c r="E467" s="4" t="s">
        <v>37</v>
      </c>
      <c r="F467" s="5" t="s">
        <v>367</v>
      </c>
      <c r="G467" s="105">
        <v>87.09</v>
      </c>
      <c r="H467" s="8">
        <f t="shared" si="34"/>
        <v>174.18</v>
      </c>
    </row>
    <row r="468" spans="2:8" s="212" customFormat="1" ht="15" customHeight="1">
      <c r="B468" s="250" t="s">
        <v>811</v>
      </c>
      <c r="C468" s="250"/>
      <c r="D468" s="268" t="s">
        <v>812</v>
      </c>
      <c r="E468" s="268"/>
      <c r="F468" s="268"/>
      <c r="G468" s="268"/>
      <c r="H468" s="271" t="s">
        <v>1155</v>
      </c>
    </row>
    <row r="469" spans="2:8" s="1" customFormat="1" ht="25.5">
      <c r="B469" s="251" t="s">
        <v>2563</v>
      </c>
      <c r="C469" s="251" t="s">
        <v>2092</v>
      </c>
      <c r="D469" s="3" t="s">
        <v>813</v>
      </c>
      <c r="E469" s="4" t="s">
        <v>37</v>
      </c>
      <c r="F469" s="5" t="s">
        <v>38</v>
      </c>
      <c r="G469" s="105">
        <f>CPU!H1130</f>
        <v>738.27438007542014</v>
      </c>
      <c r="H469" s="8">
        <f t="shared" si="34"/>
        <v>738.27438007542014</v>
      </c>
    </row>
    <row r="470" spans="2:8" s="212" customFormat="1" ht="15" customHeight="1">
      <c r="B470" s="250" t="s">
        <v>814</v>
      </c>
      <c r="C470" s="250"/>
      <c r="D470" s="268" t="s">
        <v>815</v>
      </c>
      <c r="E470" s="268"/>
      <c r="F470" s="268"/>
      <c r="G470" s="268"/>
      <c r="H470" s="271" t="s">
        <v>1155</v>
      </c>
    </row>
    <row r="471" spans="2:8" s="212" customFormat="1" ht="15" customHeight="1">
      <c r="B471" s="250" t="s">
        <v>816</v>
      </c>
      <c r="C471" s="250"/>
      <c r="D471" s="268" t="s">
        <v>817</v>
      </c>
      <c r="E471" s="268"/>
      <c r="F471" s="268"/>
      <c r="G471" s="268"/>
      <c r="H471" s="271" t="s">
        <v>1155</v>
      </c>
    </row>
    <row r="472" spans="2:8" s="1" customFormat="1" ht="25.5">
      <c r="B472" s="251" t="s">
        <v>2564</v>
      </c>
      <c r="C472" s="251" t="s">
        <v>2093</v>
      </c>
      <c r="D472" s="214" t="s">
        <v>818</v>
      </c>
      <c r="E472" s="4" t="s">
        <v>663</v>
      </c>
      <c r="F472" s="5" t="s">
        <v>38</v>
      </c>
      <c r="G472" s="105">
        <f>CPU!H1140</f>
        <v>4821.1100000000006</v>
      </c>
      <c r="H472" s="8">
        <f t="shared" si="34"/>
        <v>4821.1100000000006</v>
      </c>
    </row>
    <row r="473" spans="2:8" s="212" customFormat="1" ht="15" customHeight="1">
      <c r="B473" s="250" t="s">
        <v>819</v>
      </c>
      <c r="C473" s="250"/>
      <c r="D473" s="268" t="s">
        <v>820</v>
      </c>
      <c r="E473" s="268"/>
      <c r="F473" s="268"/>
      <c r="G473" s="268"/>
      <c r="H473" s="271"/>
    </row>
    <row r="474" spans="2:8" s="1" customFormat="1" ht="25.5" customHeight="1">
      <c r="B474" s="251" t="s">
        <v>2565</v>
      </c>
      <c r="C474" s="251" t="s">
        <v>2096</v>
      </c>
      <c r="D474" s="214" t="s">
        <v>821</v>
      </c>
      <c r="E474" s="4" t="s">
        <v>663</v>
      </c>
      <c r="F474" s="5" t="s">
        <v>38</v>
      </c>
      <c r="G474" s="105">
        <f>CPU!H1150</f>
        <v>3581.38</v>
      </c>
      <c r="H474" s="8">
        <f t="shared" ref="H474:H483" si="35">F474*G474</f>
        <v>3581.38</v>
      </c>
    </row>
    <row r="475" spans="2:8" s="1" customFormat="1" ht="25.5" customHeight="1">
      <c r="B475" s="251" t="s">
        <v>2566</v>
      </c>
      <c r="C475" s="251" t="s">
        <v>2097</v>
      </c>
      <c r="D475" s="214" t="s">
        <v>822</v>
      </c>
      <c r="E475" s="4" t="s">
        <v>663</v>
      </c>
      <c r="F475" s="5" t="s">
        <v>38</v>
      </c>
      <c r="G475" s="105">
        <f>CPU!H1159</f>
        <v>1667.7507500000002</v>
      </c>
      <c r="H475" s="8">
        <f t="shared" si="35"/>
        <v>1667.7507500000002</v>
      </c>
    </row>
    <row r="476" spans="2:8" s="1" customFormat="1" ht="25.5" customHeight="1">
      <c r="B476" s="251" t="s">
        <v>2567</v>
      </c>
      <c r="C476" s="251" t="s">
        <v>2099</v>
      </c>
      <c r="D476" s="214" t="s">
        <v>823</v>
      </c>
      <c r="E476" s="4" t="s">
        <v>663</v>
      </c>
      <c r="F476" s="5" t="s">
        <v>38</v>
      </c>
      <c r="G476" s="105">
        <f>CPU!H1168</f>
        <v>1968.0407499999999</v>
      </c>
      <c r="H476" s="8">
        <f t="shared" si="35"/>
        <v>1968.0407499999999</v>
      </c>
    </row>
    <row r="477" spans="2:8" s="1" customFormat="1" ht="25.5" customHeight="1">
      <c r="B477" s="251" t="s">
        <v>2568</v>
      </c>
      <c r="C477" s="251" t="s">
        <v>2101</v>
      </c>
      <c r="D477" s="214" t="s">
        <v>824</v>
      </c>
      <c r="E477" s="4" t="s">
        <v>663</v>
      </c>
      <c r="F477" s="5" t="s">
        <v>38</v>
      </c>
      <c r="G477" s="105">
        <f>CPU!H1177</f>
        <v>1654.4907500000002</v>
      </c>
      <c r="H477" s="8">
        <f t="shared" si="35"/>
        <v>1654.4907500000002</v>
      </c>
    </row>
    <row r="478" spans="2:8" s="1" customFormat="1" ht="25.5" customHeight="1">
      <c r="B478" s="251" t="s">
        <v>2569</v>
      </c>
      <c r="C478" s="251" t="s">
        <v>2102</v>
      </c>
      <c r="D478" s="214" t="s">
        <v>825</v>
      </c>
      <c r="E478" s="4" t="s">
        <v>663</v>
      </c>
      <c r="F478" s="5" t="s">
        <v>38</v>
      </c>
      <c r="G478" s="105">
        <f>CPU!H1186</f>
        <v>3377.5607500000001</v>
      </c>
      <c r="H478" s="8">
        <f t="shared" si="35"/>
        <v>3377.5607500000001</v>
      </c>
    </row>
    <row r="479" spans="2:8" s="1" customFormat="1" ht="25.5" customHeight="1">
      <c r="B479" s="251" t="s">
        <v>2570</v>
      </c>
      <c r="C479" s="251" t="s">
        <v>2103</v>
      </c>
      <c r="D479" s="214" t="s">
        <v>826</v>
      </c>
      <c r="E479" s="4" t="s">
        <v>663</v>
      </c>
      <c r="F479" s="5" t="s">
        <v>38</v>
      </c>
      <c r="G479" s="105">
        <f>CPU!H1195</f>
        <v>3597.9807500000002</v>
      </c>
      <c r="H479" s="8">
        <f t="shared" si="35"/>
        <v>3597.9807500000002</v>
      </c>
    </row>
    <row r="480" spans="2:8" s="1" customFormat="1" ht="25.5" customHeight="1">
      <c r="B480" s="251" t="s">
        <v>2571</v>
      </c>
      <c r="C480" s="251" t="s">
        <v>2105</v>
      </c>
      <c r="D480" s="214" t="s">
        <v>827</v>
      </c>
      <c r="E480" s="4" t="s">
        <v>663</v>
      </c>
      <c r="F480" s="5" t="s">
        <v>38</v>
      </c>
      <c r="G480" s="105">
        <f>CPU!H1204</f>
        <v>3741.3407499999998</v>
      </c>
      <c r="H480" s="8">
        <f t="shared" si="35"/>
        <v>3741.3407499999998</v>
      </c>
    </row>
    <row r="481" spans="2:8" s="1" customFormat="1" ht="25.5" customHeight="1">
      <c r="B481" s="251" t="s">
        <v>2572</v>
      </c>
      <c r="C481" s="251" t="s">
        <v>2106</v>
      </c>
      <c r="D481" s="214" t="s">
        <v>828</v>
      </c>
      <c r="E481" s="4" t="s">
        <v>663</v>
      </c>
      <c r="F481" s="5" t="s">
        <v>38</v>
      </c>
      <c r="G481" s="105">
        <f>CPU!H1213</f>
        <v>1737.2900000000002</v>
      </c>
      <c r="H481" s="8">
        <f t="shared" si="35"/>
        <v>1737.2900000000002</v>
      </c>
    </row>
    <row r="482" spans="2:8" s="1" customFormat="1" ht="40.5" customHeight="1">
      <c r="B482" s="251" t="s">
        <v>2573</v>
      </c>
      <c r="C482" s="251" t="s">
        <v>2841</v>
      </c>
      <c r="D482" s="3" t="s">
        <v>830</v>
      </c>
      <c r="E482" s="4" t="s">
        <v>37</v>
      </c>
      <c r="F482" s="5" t="s">
        <v>358</v>
      </c>
      <c r="G482" s="105">
        <v>3038.67</v>
      </c>
      <c r="H482" s="8">
        <f t="shared" si="35"/>
        <v>9116.01</v>
      </c>
    </row>
    <row r="483" spans="2:8" s="1" customFormat="1" ht="27.75" customHeight="1">
      <c r="B483" s="251" t="s">
        <v>2574</v>
      </c>
      <c r="C483" s="251" t="s">
        <v>831</v>
      </c>
      <c r="D483" s="3" t="s">
        <v>832</v>
      </c>
      <c r="E483" s="4" t="s">
        <v>37</v>
      </c>
      <c r="F483" s="5" t="s">
        <v>575</v>
      </c>
      <c r="G483" s="105">
        <v>25.58</v>
      </c>
      <c r="H483" s="8">
        <f t="shared" si="35"/>
        <v>230.21999999999997</v>
      </c>
    </row>
    <row r="484" spans="2:8" s="212" customFormat="1" ht="15" customHeight="1">
      <c r="B484" s="250" t="s">
        <v>833</v>
      </c>
      <c r="C484" s="250"/>
      <c r="D484" s="268" t="s">
        <v>805</v>
      </c>
      <c r="E484" s="268"/>
      <c r="F484" s="268"/>
      <c r="G484" s="268"/>
      <c r="H484" s="271" t="s">
        <v>1155</v>
      </c>
    </row>
    <row r="485" spans="2:8" s="1" customFormat="1" ht="38.25">
      <c r="B485" s="251" t="s">
        <v>2575</v>
      </c>
      <c r="C485" s="251" t="s">
        <v>2200</v>
      </c>
      <c r="D485" s="3" t="s">
        <v>699</v>
      </c>
      <c r="E485" s="4" t="s">
        <v>24</v>
      </c>
      <c r="F485" s="5" t="s">
        <v>834</v>
      </c>
      <c r="G485" s="105">
        <f>CPU!H993</f>
        <v>21.350875880640004</v>
      </c>
      <c r="H485" s="8">
        <f t="shared" ref="H485:H501" si="36">F485*G485</f>
        <v>3159.9296303347205</v>
      </c>
    </row>
    <row r="486" spans="2:8" s="1" customFormat="1" ht="37.5" customHeight="1">
      <c r="B486" s="251" t="s">
        <v>2576</v>
      </c>
      <c r="C486" s="251" t="s">
        <v>835</v>
      </c>
      <c r="D486" s="3" t="s">
        <v>836</v>
      </c>
      <c r="E486" s="4" t="s">
        <v>15</v>
      </c>
      <c r="F486" s="5" t="s">
        <v>837</v>
      </c>
      <c r="G486" s="105">
        <v>10.57</v>
      </c>
      <c r="H486" s="8">
        <f t="shared" si="36"/>
        <v>15717.59</v>
      </c>
    </row>
    <row r="487" spans="2:8" s="1" customFormat="1" ht="38.25">
      <c r="B487" s="251" t="s">
        <v>2577</v>
      </c>
      <c r="C487" s="251" t="s">
        <v>838</v>
      </c>
      <c r="D487" s="3" t="s">
        <v>839</v>
      </c>
      <c r="E487" s="4" t="s">
        <v>15</v>
      </c>
      <c r="F487" s="5" t="s">
        <v>623</v>
      </c>
      <c r="G487" s="105">
        <v>9.74</v>
      </c>
      <c r="H487" s="8">
        <f t="shared" si="36"/>
        <v>4753.12</v>
      </c>
    </row>
    <row r="488" spans="2:8" s="1" customFormat="1" ht="38.25">
      <c r="B488" s="251" t="s">
        <v>2578</v>
      </c>
      <c r="C488" s="251" t="s">
        <v>840</v>
      </c>
      <c r="D488" s="3" t="s">
        <v>841</v>
      </c>
      <c r="E488" s="4" t="s">
        <v>15</v>
      </c>
      <c r="F488" s="5" t="s">
        <v>735</v>
      </c>
      <c r="G488" s="105">
        <v>13.7</v>
      </c>
      <c r="H488" s="8">
        <f t="shared" si="36"/>
        <v>1493.3</v>
      </c>
    </row>
    <row r="489" spans="2:8" s="1" customFormat="1" ht="38.25">
      <c r="B489" s="251" t="s">
        <v>2579</v>
      </c>
      <c r="C489" s="251" t="s">
        <v>842</v>
      </c>
      <c r="D489" s="3" t="s">
        <v>843</v>
      </c>
      <c r="E489" s="4" t="s">
        <v>15</v>
      </c>
      <c r="F489" s="5" t="s">
        <v>844</v>
      </c>
      <c r="G489" s="105">
        <v>17.61</v>
      </c>
      <c r="H489" s="8">
        <f t="shared" si="36"/>
        <v>7272.9299999999994</v>
      </c>
    </row>
    <row r="490" spans="2:8" s="1" customFormat="1" ht="36.75" customHeight="1">
      <c r="B490" s="251" t="s">
        <v>2580</v>
      </c>
      <c r="C490" s="251" t="s">
        <v>845</v>
      </c>
      <c r="D490" s="3" t="s">
        <v>846</v>
      </c>
      <c r="E490" s="4" t="s">
        <v>37</v>
      </c>
      <c r="F490" s="5" t="s">
        <v>667</v>
      </c>
      <c r="G490" s="105">
        <v>17.43</v>
      </c>
      <c r="H490" s="8">
        <f t="shared" si="36"/>
        <v>226.59</v>
      </c>
    </row>
    <row r="491" spans="2:8" s="1" customFormat="1" ht="39" customHeight="1">
      <c r="B491" s="251" t="s">
        <v>2581</v>
      </c>
      <c r="C491" s="251" t="s">
        <v>847</v>
      </c>
      <c r="D491" s="3" t="s">
        <v>848</v>
      </c>
      <c r="E491" s="4" t="s">
        <v>37</v>
      </c>
      <c r="F491" s="5" t="s">
        <v>14</v>
      </c>
      <c r="G491" s="105">
        <v>19.850000000000001</v>
      </c>
      <c r="H491" s="8">
        <f t="shared" si="36"/>
        <v>198.5</v>
      </c>
    </row>
    <row r="492" spans="2:8" s="1" customFormat="1" ht="25.5">
      <c r="B492" s="251" t="s">
        <v>2582</v>
      </c>
      <c r="C492" s="251" t="s">
        <v>849</v>
      </c>
      <c r="D492" s="3" t="s">
        <v>850</v>
      </c>
      <c r="E492" s="4" t="s">
        <v>15</v>
      </c>
      <c r="F492" s="5" t="s">
        <v>851</v>
      </c>
      <c r="G492" s="105">
        <v>17.670000000000002</v>
      </c>
      <c r="H492" s="8">
        <f t="shared" si="36"/>
        <v>4735.5600000000004</v>
      </c>
    </row>
    <row r="493" spans="2:8" s="1" customFormat="1" ht="25.5">
      <c r="B493" s="251" t="s">
        <v>2583</v>
      </c>
      <c r="C493" s="251" t="s">
        <v>852</v>
      </c>
      <c r="D493" s="3" t="s">
        <v>853</v>
      </c>
      <c r="E493" s="4" t="s">
        <v>15</v>
      </c>
      <c r="F493" s="5" t="s">
        <v>289</v>
      </c>
      <c r="G493" s="105">
        <v>26.43</v>
      </c>
      <c r="H493" s="8">
        <f t="shared" si="36"/>
        <v>581.46</v>
      </c>
    </row>
    <row r="494" spans="2:8" s="1" customFormat="1" ht="27" customHeight="1">
      <c r="B494" s="251" t="s">
        <v>2584</v>
      </c>
      <c r="C494" s="251" t="s">
        <v>854</v>
      </c>
      <c r="D494" s="3" t="s">
        <v>855</v>
      </c>
      <c r="E494" s="4" t="s">
        <v>37</v>
      </c>
      <c r="F494" s="5" t="s">
        <v>289</v>
      </c>
      <c r="G494" s="105">
        <v>22.17</v>
      </c>
      <c r="H494" s="8">
        <f t="shared" si="36"/>
        <v>487.74</v>
      </c>
    </row>
    <row r="495" spans="2:8" s="212" customFormat="1" ht="15" customHeight="1">
      <c r="B495" s="250" t="s">
        <v>856</v>
      </c>
      <c r="C495" s="250"/>
      <c r="D495" s="268" t="s">
        <v>857</v>
      </c>
      <c r="E495" s="268"/>
      <c r="F495" s="268"/>
      <c r="G495" s="268"/>
      <c r="H495" s="271" t="s">
        <v>1155</v>
      </c>
    </row>
    <row r="496" spans="2:8" s="1" customFormat="1" ht="38.25">
      <c r="B496" s="251" t="s">
        <v>2585</v>
      </c>
      <c r="C496" s="251" t="s">
        <v>858</v>
      </c>
      <c r="D496" s="3" t="s">
        <v>859</v>
      </c>
      <c r="E496" s="4" t="s">
        <v>15</v>
      </c>
      <c r="F496" s="5" t="s">
        <v>860</v>
      </c>
      <c r="G496" s="105">
        <v>4.32</v>
      </c>
      <c r="H496" s="8">
        <f t="shared" si="36"/>
        <v>214125.12000000002</v>
      </c>
    </row>
    <row r="497" spans="2:8" s="1" customFormat="1" ht="38.25">
      <c r="B497" s="251" t="s">
        <v>2586</v>
      </c>
      <c r="C497" s="251" t="s">
        <v>861</v>
      </c>
      <c r="D497" s="3" t="s">
        <v>862</v>
      </c>
      <c r="E497" s="4" t="s">
        <v>15</v>
      </c>
      <c r="F497" s="5" t="s">
        <v>863</v>
      </c>
      <c r="G497" s="105">
        <v>10.96</v>
      </c>
      <c r="H497" s="8">
        <f t="shared" si="36"/>
        <v>21974.800000000003</v>
      </c>
    </row>
    <row r="498" spans="2:8" s="1" customFormat="1" ht="38.25">
      <c r="B498" s="251" t="s">
        <v>2587</v>
      </c>
      <c r="C498" s="251" t="s">
        <v>864</v>
      </c>
      <c r="D498" s="3" t="s">
        <v>865</v>
      </c>
      <c r="E498" s="4" t="s">
        <v>15</v>
      </c>
      <c r="F498" s="5" t="s">
        <v>866</v>
      </c>
      <c r="G498" s="105">
        <v>17.25</v>
      </c>
      <c r="H498" s="8">
        <f t="shared" si="36"/>
        <v>37225.5</v>
      </c>
    </row>
    <row r="499" spans="2:8" s="1" customFormat="1" ht="38.25">
      <c r="B499" s="251" t="s">
        <v>2588</v>
      </c>
      <c r="C499" s="251" t="s">
        <v>867</v>
      </c>
      <c r="D499" s="3" t="s">
        <v>868</v>
      </c>
      <c r="E499" s="4" t="s">
        <v>15</v>
      </c>
      <c r="F499" s="5" t="s">
        <v>651</v>
      </c>
      <c r="G499" s="105">
        <v>26.34</v>
      </c>
      <c r="H499" s="8">
        <f t="shared" si="36"/>
        <v>3160.8</v>
      </c>
    </row>
    <row r="500" spans="2:8" s="1" customFormat="1" ht="38.25">
      <c r="B500" s="251" t="s">
        <v>2589</v>
      </c>
      <c r="C500" s="251" t="s">
        <v>869</v>
      </c>
      <c r="D500" s="3" t="s">
        <v>870</v>
      </c>
      <c r="E500" s="4" t="s">
        <v>15</v>
      </c>
      <c r="F500" s="5" t="s">
        <v>871</v>
      </c>
      <c r="G500" s="105">
        <v>30.19</v>
      </c>
      <c r="H500" s="8">
        <f t="shared" si="36"/>
        <v>27684.23</v>
      </c>
    </row>
    <row r="501" spans="2:8" s="1" customFormat="1" ht="38.25">
      <c r="B501" s="251" t="s">
        <v>2590</v>
      </c>
      <c r="C501" s="251" t="s">
        <v>872</v>
      </c>
      <c r="D501" s="3" t="s">
        <v>873</v>
      </c>
      <c r="E501" s="4" t="s">
        <v>15</v>
      </c>
      <c r="F501" s="5" t="s">
        <v>754</v>
      </c>
      <c r="G501" s="105">
        <v>40.97</v>
      </c>
      <c r="H501" s="8">
        <f t="shared" si="36"/>
        <v>6555.2</v>
      </c>
    </row>
    <row r="502" spans="2:8" s="212" customFormat="1" ht="15" customHeight="1">
      <c r="B502" s="250" t="s">
        <v>874</v>
      </c>
      <c r="C502" s="250"/>
      <c r="D502" s="268" t="s">
        <v>709</v>
      </c>
      <c r="E502" s="268"/>
      <c r="F502" s="268"/>
      <c r="G502" s="268"/>
      <c r="H502" s="271" t="s">
        <v>1155</v>
      </c>
    </row>
    <row r="503" spans="2:8" s="1" customFormat="1" ht="25.5">
      <c r="B503" s="251" t="s">
        <v>2591</v>
      </c>
      <c r="C503" s="251" t="s">
        <v>2203</v>
      </c>
      <c r="D503" s="214" t="s">
        <v>875</v>
      </c>
      <c r="E503" s="4" t="s">
        <v>37</v>
      </c>
      <c r="F503" s="5" t="s">
        <v>314</v>
      </c>
      <c r="G503" s="105">
        <f>CPU!H1227</f>
        <v>561.56385399999999</v>
      </c>
      <c r="H503" s="8">
        <f t="shared" ref="H503:H508" si="37">F503*G503</f>
        <v>26955.064992</v>
      </c>
    </row>
    <row r="504" spans="2:8" s="1" customFormat="1" ht="38.25">
      <c r="B504" s="251" t="s">
        <v>2592</v>
      </c>
      <c r="C504" s="251" t="s">
        <v>876</v>
      </c>
      <c r="D504" s="3" t="s">
        <v>877</v>
      </c>
      <c r="E504" s="4" t="s">
        <v>37</v>
      </c>
      <c r="F504" s="5" t="s">
        <v>289</v>
      </c>
      <c r="G504" s="105">
        <v>26.45</v>
      </c>
      <c r="H504" s="8">
        <f t="shared" si="37"/>
        <v>581.9</v>
      </c>
    </row>
    <row r="505" spans="2:8" s="1" customFormat="1" ht="38.25">
      <c r="B505" s="251" t="s">
        <v>2593</v>
      </c>
      <c r="C505" s="251" t="s">
        <v>878</v>
      </c>
      <c r="D505" s="3" t="s">
        <v>879</v>
      </c>
      <c r="E505" s="4" t="s">
        <v>37</v>
      </c>
      <c r="F505" s="5" t="s">
        <v>880</v>
      </c>
      <c r="G505" s="105">
        <v>14.17</v>
      </c>
      <c r="H505" s="8">
        <f t="shared" si="37"/>
        <v>5611.32</v>
      </c>
    </row>
    <row r="506" spans="2:8" s="1" customFormat="1" ht="38.25">
      <c r="B506" s="251" t="s">
        <v>2594</v>
      </c>
      <c r="C506" s="251" t="s">
        <v>881</v>
      </c>
      <c r="D506" s="3" t="s">
        <v>882</v>
      </c>
      <c r="E506" s="4" t="s">
        <v>37</v>
      </c>
      <c r="F506" s="5" t="s">
        <v>883</v>
      </c>
      <c r="G506" s="105">
        <v>9.56</v>
      </c>
      <c r="H506" s="8">
        <f t="shared" si="37"/>
        <v>1357.52</v>
      </c>
    </row>
    <row r="507" spans="2:8" s="1" customFormat="1" ht="38.25">
      <c r="B507" s="251" t="s">
        <v>2595</v>
      </c>
      <c r="C507" s="251" t="s">
        <v>884</v>
      </c>
      <c r="D507" s="3" t="s">
        <v>885</v>
      </c>
      <c r="E507" s="4" t="s">
        <v>37</v>
      </c>
      <c r="F507" s="5" t="s">
        <v>886</v>
      </c>
      <c r="G507" s="105">
        <v>32.89</v>
      </c>
      <c r="H507" s="8">
        <f t="shared" si="37"/>
        <v>2828.54</v>
      </c>
    </row>
    <row r="508" spans="2:8" s="1" customFormat="1" ht="38.25">
      <c r="B508" s="251" t="s">
        <v>2596</v>
      </c>
      <c r="C508" s="251" t="s">
        <v>887</v>
      </c>
      <c r="D508" s="3" t="s">
        <v>888</v>
      </c>
      <c r="E508" s="4" t="s">
        <v>37</v>
      </c>
      <c r="F508" s="5" t="s">
        <v>674</v>
      </c>
      <c r="G508" s="105">
        <v>18.75</v>
      </c>
      <c r="H508" s="8">
        <f t="shared" si="37"/>
        <v>843.75</v>
      </c>
    </row>
    <row r="509" spans="2:8" s="212" customFormat="1" ht="15" customHeight="1">
      <c r="B509" s="250" t="s">
        <v>889</v>
      </c>
      <c r="C509" s="250"/>
      <c r="D509" s="268" t="s">
        <v>890</v>
      </c>
      <c r="E509" s="268"/>
      <c r="F509" s="268"/>
      <c r="G509" s="268"/>
      <c r="H509" s="271" t="s">
        <v>1155</v>
      </c>
    </row>
    <row r="510" spans="2:8" s="1" customFormat="1" ht="38.25">
      <c r="B510" s="251" t="s">
        <v>2597</v>
      </c>
      <c r="C510" s="251" t="s">
        <v>2108</v>
      </c>
      <c r="D510" s="3" t="s">
        <v>891</v>
      </c>
      <c r="E510" s="4" t="s">
        <v>15</v>
      </c>
      <c r="F510" s="5">
        <v>42</v>
      </c>
      <c r="G510" s="105">
        <f>CPU!H1242</f>
        <v>58.806646643914917</v>
      </c>
      <c r="H510" s="8">
        <f t="shared" ref="H510:H517" si="38">F510*G510</f>
        <v>2469.8791590444266</v>
      </c>
    </row>
    <row r="511" spans="2:8" s="1" customFormat="1" ht="38.25">
      <c r="B511" s="251" t="s">
        <v>2598</v>
      </c>
      <c r="C511" s="251" t="s">
        <v>2116</v>
      </c>
      <c r="D511" s="3" t="s">
        <v>892</v>
      </c>
      <c r="E511" s="4" t="s">
        <v>15</v>
      </c>
      <c r="F511" s="5">
        <v>117</v>
      </c>
      <c r="G511" s="105">
        <f>CPU!H1257</f>
        <v>56.177036528007406</v>
      </c>
      <c r="H511" s="8">
        <f t="shared" si="38"/>
        <v>6572.7132737768661</v>
      </c>
    </row>
    <row r="512" spans="2:8" s="1" customFormat="1" ht="38.25">
      <c r="B512" s="251" t="s">
        <v>2599</v>
      </c>
      <c r="C512" s="251" t="s">
        <v>2120</v>
      </c>
      <c r="D512" s="3" t="s">
        <v>893</v>
      </c>
      <c r="E512" s="4" t="s">
        <v>15</v>
      </c>
      <c r="F512" s="5">
        <v>32</v>
      </c>
      <c r="G512" s="105">
        <f>CPU!H1272</f>
        <v>63.316187460204908</v>
      </c>
      <c r="H512" s="8">
        <f t="shared" si="38"/>
        <v>2026.1179987265571</v>
      </c>
    </row>
    <row r="513" spans="2:8" s="1" customFormat="1" ht="31.5" customHeight="1">
      <c r="B513" s="251" t="s">
        <v>2600</v>
      </c>
      <c r="C513" s="251" t="s">
        <v>2123</v>
      </c>
      <c r="D513" s="3" t="s">
        <v>894</v>
      </c>
      <c r="E513" s="4" t="s">
        <v>15</v>
      </c>
      <c r="F513" s="5">
        <v>18</v>
      </c>
      <c r="G513" s="105">
        <f>CPU!H1287</f>
        <v>86.43270273561842</v>
      </c>
      <c r="H513" s="8">
        <f t="shared" si="38"/>
        <v>1555.7886492411317</v>
      </c>
    </row>
    <row r="514" spans="2:8" s="1" customFormat="1" ht="27.75" customHeight="1">
      <c r="B514" s="251" t="s">
        <v>2601</v>
      </c>
      <c r="C514" s="251" t="s">
        <v>2127</v>
      </c>
      <c r="D514" s="85" t="s">
        <v>1933</v>
      </c>
      <c r="E514" s="102" t="s">
        <v>15</v>
      </c>
      <c r="F514" s="5">
        <v>479.46</v>
      </c>
      <c r="G514" s="105">
        <f>CPU!H1304</f>
        <v>203.66977867838406</v>
      </c>
      <c r="H514" s="8">
        <f t="shared" si="38"/>
        <v>97651.51208513802</v>
      </c>
    </row>
    <row r="515" spans="2:8" s="1" customFormat="1" ht="25.5">
      <c r="B515" s="251" t="s">
        <v>2602</v>
      </c>
      <c r="C515" s="251" t="s">
        <v>895</v>
      </c>
      <c r="D515" s="3" t="s">
        <v>2733</v>
      </c>
      <c r="E515" s="4" t="s">
        <v>15</v>
      </c>
      <c r="F515" s="5" t="s">
        <v>896</v>
      </c>
      <c r="G515" s="105">
        <v>9.84</v>
      </c>
      <c r="H515" s="8">
        <f t="shared" si="38"/>
        <v>17692.32</v>
      </c>
    </row>
    <row r="516" spans="2:8" s="1" customFormat="1" ht="25.5">
      <c r="B516" s="251" t="s">
        <v>2603</v>
      </c>
      <c r="C516" s="251" t="s">
        <v>2731</v>
      </c>
      <c r="D516" s="3" t="s">
        <v>2732</v>
      </c>
      <c r="E516" s="4" t="s">
        <v>15</v>
      </c>
      <c r="F516" s="5" t="s">
        <v>897</v>
      </c>
      <c r="G516" s="105">
        <v>18.100000000000001</v>
      </c>
      <c r="H516" s="8">
        <f t="shared" si="38"/>
        <v>13973.2</v>
      </c>
    </row>
    <row r="517" spans="2:8" s="1" customFormat="1" ht="42.75" customHeight="1">
      <c r="B517" s="251" t="s">
        <v>2604</v>
      </c>
      <c r="C517" s="251" t="s">
        <v>898</v>
      </c>
      <c r="D517" s="3" t="s">
        <v>899</v>
      </c>
      <c r="E517" s="4" t="s">
        <v>15</v>
      </c>
      <c r="F517" s="5" t="s">
        <v>900</v>
      </c>
      <c r="G517" s="105">
        <v>17.39</v>
      </c>
      <c r="H517" s="8">
        <f t="shared" si="38"/>
        <v>4399.67</v>
      </c>
    </row>
    <row r="518" spans="2:8" s="212" customFormat="1" ht="15" customHeight="1">
      <c r="B518" s="251"/>
      <c r="C518" s="251"/>
      <c r="D518" s="274" t="s">
        <v>1189</v>
      </c>
      <c r="E518" s="275"/>
      <c r="F518" s="276"/>
      <c r="G518" s="284"/>
      <c r="H518" s="277">
        <f>SUM(H462:H517)</f>
        <v>629529.99037401041</v>
      </c>
    </row>
    <row r="519" spans="2:8" s="212" customFormat="1" ht="15" customHeight="1">
      <c r="B519" s="244" t="s">
        <v>901</v>
      </c>
      <c r="C519" s="244"/>
      <c r="D519" s="245" t="s">
        <v>902</v>
      </c>
      <c r="E519" s="245"/>
      <c r="F519" s="245"/>
      <c r="G519" s="245"/>
      <c r="H519" s="279" t="s">
        <v>1155</v>
      </c>
    </row>
    <row r="520" spans="2:8" s="212" customFormat="1" ht="15" customHeight="1">
      <c r="B520" s="250" t="s">
        <v>903</v>
      </c>
      <c r="C520" s="250"/>
      <c r="D520" s="268" t="s">
        <v>904</v>
      </c>
      <c r="E520" s="268"/>
      <c r="F520" s="268"/>
      <c r="G520" s="268"/>
      <c r="H520" s="271" t="s">
        <v>1155</v>
      </c>
    </row>
    <row r="521" spans="2:8" s="1" customFormat="1" ht="30" customHeight="1">
      <c r="B521" s="258" t="s">
        <v>2605</v>
      </c>
      <c r="C521" s="251" t="s">
        <v>2128</v>
      </c>
      <c r="D521" s="214" t="s">
        <v>2734</v>
      </c>
      <c r="E521" s="4" t="s">
        <v>37</v>
      </c>
      <c r="F521" s="105">
        <v>582</v>
      </c>
      <c r="G521" s="105">
        <f>CPU!H1310</f>
        <v>233.18599999999998</v>
      </c>
      <c r="H521" s="8">
        <f t="shared" ref="H521:H526" si="39">F521*G521</f>
        <v>135714.25199999998</v>
      </c>
    </row>
    <row r="522" spans="2:8" s="1" customFormat="1" ht="25.5">
      <c r="B522" s="258" t="s">
        <v>2606</v>
      </c>
      <c r="C522" s="251" t="s">
        <v>2130</v>
      </c>
      <c r="D522" s="3" t="s">
        <v>906</v>
      </c>
      <c r="E522" s="4" t="s">
        <v>37</v>
      </c>
      <c r="F522" s="105">
        <v>72</v>
      </c>
      <c r="G522" s="105">
        <f>CPU!H1316</f>
        <v>147.07600000000002</v>
      </c>
      <c r="H522" s="8">
        <f t="shared" si="39"/>
        <v>10589.472000000002</v>
      </c>
    </row>
    <row r="523" spans="2:8" s="1" customFormat="1" ht="25.5">
      <c r="B523" s="258" t="s">
        <v>2607</v>
      </c>
      <c r="C523" s="251" t="s">
        <v>2131</v>
      </c>
      <c r="D523" s="3" t="s">
        <v>907</v>
      </c>
      <c r="E523" s="4" t="s">
        <v>37</v>
      </c>
      <c r="F523" s="105">
        <v>211</v>
      </c>
      <c r="G523" s="105">
        <f>CPU!H1323</f>
        <v>95.736000000000004</v>
      </c>
      <c r="H523" s="8">
        <f t="shared" si="39"/>
        <v>20200.296000000002</v>
      </c>
    </row>
    <row r="524" spans="2:8" s="1" customFormat="1" ht="25.5">
      <c r="B524" s="258" t="s">
        <v>2608</v>
      </c>
      <c r="C524" s="251" t="s">
        <v>2132</v>
      </c>
      <c r="D524" s="3" t="s">
        <v>908</v>
      </c>
      <c r="E524" s="4" t="s">
        <v>37</v>
      </c>
      <c r="F524" s="105">
        <v>106</v>
      </c>
      <c r="G524" s="105">
        <f>CPU!H1330</f>
        <v>156.78600000000003</v>
      </c>
      <c r="H524" s="8">
        <f t="shared" si="39"/>
        <v>16619.316000000003</v>
      </c>
    </row>
    <row r="525" spans="2:8" s="1" customFormat="1" ht="25.5">
      <c r="B525" s="258" t="s">
        <v>2609</v>
      </c>
      <c r="C525" s="251" t="s">
        <v>2133</v>
      </c>
      <c r="D525" s="216" t="s">
        <v>1935</v>
      </c>
      <c r="E525" s="99" t="s">
        <v>37</v>
      </c>
      <c r="F525" s="5">
        <v>413</v>
      </c>
      <c r="G525" s="105">
        <f>CPU!H1339</f>
        <v>48.464000000000006</v>
      </c>
      <c r="H525" s="8">
        <f t="shared" si="39"/>
        <v>20015.632000000001</v>
      </c>
    </row>
    <row r="526" spans="2:8" s="1" customFormat="1" ht="38.25">
      <c r="B526" s="258" t="s">
        <v>2610</v>
      </c>
      <c r="C526" s="251" t="s">
        <v>909</v>
      </c>
      <c r="D526" s="3" t="s">
        <v>910</v>
      </c>
      <c r="E526" s="4" t="s">
        <v>37</v>
      </c>
      <c r="F526" s="105">
        <v>4</v>
      </c>
      <c r="G526" s="105">
        <v>72.48</v>
      </c>
      <c r="H526" s="8">
        <f t="shared" si="39"/>
        <v>289.92</v>
      </c>
    </row>
    <row r="527" spans="2:8" s="212" customFormat="1" ht="15" customHeight="1">
      <c r="B527" s="250" t="s">
        <v>914</v>
      </c>
      <c r="C527" s="250"/>
      <c r="D527" s="268" t="s">
        <v>915</v>
      </c>
      <c r="E527" s="268"/>
      <c r="F527" s="268"/>
      <c r="G527" s="268"/>
      <c r="H527" s="271" t="s">
        <v>1155</v>
      </c>
    </row>
    <row r="528" spans="2:8" s="1" customFormat="1" ht="38.25">
      <c r="B528" s="258" t="s">
        <v>2611</v>
      </c>
      <c r="C528" s="251" t="s">
        <v>916</v>
      </c>
      <c r="D528" s="3" t="s">
        <v>917</v>
      </c>
      <c r="E528" s="4" t="s">
        <v>37</v>
      </c>
      <c r="F528" s="5" t="s">
        <v>918</v>
      </c>
      <c r="G528" s="105">
        <v>25.69</v>
      </c>
      <c r="H528" s="8">
        <f t="shared" ref="H528:H536" si="40">F528*G528</f>
        <v>1669.8500000000001</v>
      </c>
    </row>
    <row r="529" spans="2:8" s="1" customFormat="1" ht="38.25">
      <c r="B529" s="258" t="s">
        <v>2612</v>
      </c>
      <c r="C529" s="251" t="s">
        <v>919</v>
      </c>
      <c r="D529" s="3" t="s">
        <v>920</v>
      </c>
      <c r="E529" s="4" t="s">
        <v>37</v>
      </c>
      <c r="F529" s="5" t="s">
        <v>729</v>
      </c>
      <c r="G529" s="105">
        <v>31.73</v>
      </c>
      <c r="H529" s="8">
        <f t="shared" si="40"/>
        <v>2919.16</v>
      </c>
    </row>
    <row r="530" spans="2:8" s="1" customFormat="1" ht="38.25">
      <c r="B530" s="258" t="s">
        <v>2613</v>
      </c>
      <c r="C530" s="251" t="s">
        <v>921</v>
      </c>
      <c r="D530" s="3" t="s">
        <v>922</v>
      </c>
      <c r="E530" s="4" t="s">
        <v>37</v>
      </c>
      <c r="F530" s="5" t="s">
        <v>314</v>
      </c>
      <c r="G530" s="105">
        <v>40.69</v>
      </c>
      <c r="H530" s="8">
        <f t="shared" si="40"/>
        <v>1953.12</v>
      </c>
    </row>
    <row r="531" spans="2:8" s="1" customFormat="1" ht="38.25">
      <c r="B531" s="258" t="s">
        <v>2614</v>
      </c>
      <c r="C531" s="251" t="s">
        <v>923</v>
      </c>
      <c r="D531" s="3" t="s">
        <v>924</v>
      </c>
      <c r="E531" s="4" t="s">
        <v>37</v>
      </c>
      <c r="F531" s="5" t="s">
        <v>925</v>
      </c>
      <c r="G531" s="105">
        <v>55.7</v>
      </c>
      <c r="H531" s="8">
        <f t="shared" si="40"/>
        <v>1448.2</v>
      </c>
    </row>
    <row r="532" spans="2:8" s="212" customFormat="1" ht="15" customHeight="1">
      <c r="B532" s="250" t="s">
        <v>926</v>
      </c>
      <c r="C532" s="250"/>
      <c r="D532" s="268" t="s">
        <v>927</v>
      </c>
      <c r="E532" s="268"/>
      <c r="F532" s="268"/>
      <c r="G532" s="268"/>
      <c r="H532" s="271" t="s">
        <v>1155</v>
      </c>
    </row>
    <row r="533" spans="2:8" s="1" customFormat="1" ht="25.5">
      <c r="B533" s="251" t="s">
        <v>2615</v>
      </c>
      <c r="C533" s="251" t="s">
        <v>2204</v>
      </c>
      <c r="D533" s="214" t="s">
        <v>928</v>
      </c>
      <c r="E533" s="4" t="s">
        <v>37</v>
      </c>
      <c r="F533" s="5" t="s">
        <v>25</v>
      </c>
      <c r="G533" s="105">
        <f>CPU!H1347</f>
        <v>139.39599999999999</v>
      </c>
      <c r="H533" s="8">
        <f t="shared" si="40"/>
        <v>3763.6919999999996</v>
      </c>
    </row>
    <row r="534" spans="2:8" s="1" customFormat="1" ht="38.25">
      <c r="B534" s="251" t="s">
        <v>2616</v>
      </c>
      <c r="C534" s="251" t="s">
        <v>929</v>
      </c>
      <c r="D534" s="3" t="s">
        <v>930</v>
      </c>
      <c r="E534" s="4" t="s">
        <v>37</v>
      </c>
      <c r="F534" s="5" t="s">
        <v>931</v>
      </c>
      <c r="G534" s="105">
        <v>38.97</v>
      </c>
      <c r="H534" s="8">
        <f t="shared" si="40"/>
        <v>7053.57</v>
      </c>
    </row>
    <row r="535" spans="2:8" s="1" customFormat="1" ht="38.25">
      <c r="B535" s="251" t="s">
        <v>2617</v>
      </c>
      <c r="C535" s="251" t="s">
        <v>932</v>
      </c>
      <c r="D535" s="3" t="s">
        <v>933</v>
      </c>
      <c r="E535" s="4" t="s">
        <v>37</v>
      </c>
      <c r="F535" s="5" t="s">
        <v>934</v>
      </c>
      <c r="G535" s="105">
        <v>43.63</v>
      </c>
      <c r="H535" s="8">
        <f t="shared" si="40"/>
        <v>12478.18</v>
      </c>
    </row>
    <row r="536" spans="2:8" s="1" customFormat="1" ht="38.25">
      <c r="B536" s="251" t="s">
        <v>2618</v>
      </c>
      <c r="C536" s="251" t="s">
        <v>935</v>
      </c>
      <c r="D536" s="3" t="s">
        <v>936</v>
      </c>
      <c r="E536" s="4" t="s">
        <v>37</v>
      </c>
      <c r="F536" s="5" t="s">
        <v>937</v>
      </c>
      <c r="G536" s="105">
        <v>69.97</v>
      </c>
      <c r="H536" s="8">
        <f t="shared" si="40"/>
        <v>9725.83</v>
      </c>
    </row>
    <row r="537" spans="2:8" s="1" customFormat="1" ht="15" customHeight="1">
      <c r="B537" s="251"/>
      <c r="C537" s="7"/>
      <c r="D537" s="274" t="s">
        <v>1190</v>
      </c>
      <c r="E537" s="275"/>
      <c r="F537" s="276"/>
      <c r="G537" s="276"/>
      <c r="H537" s="277">
        <f>SUM(H521:H536)</f>
        <v>244440.49000000002</v>
      </c>
    </row>
    <row r="538" spans="2:8" s="1" customFormat="1" ht="12.75">
      <c r="B538" s="250" t="s">
        <v>938</v>
      </c>
      <c r="C538" s="250"/>
      <c r="D538" s="268" t="s">
        <v>939</v>
      </c>
      <c r="E538" s="281"/>
      <c r="F538" s="281"/>
      <c r="G538" s="281"/>
      <c r="H538" s="282" t="s">
        <v>1155</v>
      </c>
    </row>
    <row r="539" spans="2:8" s="1" customFormat="1" ht="25.5">
      <c r="B539" s="251" t="s">
        <v>2619</v>
      </c>
      <c r="C539" s="251" t="s">
        <v>2205</v>
      </c>
      <c r="D539" s="3" t="s">
        <v>940</v>
      </c>
      <c r="E539" s="4" t="s">
        <v>663</v>
      </c>
      <c r="F539" s="5" t="s">
        <v>38</v>
      </c>
      <c r="G539" s="105">
        <f>CPU!H1379</f>
        <v>4523.2404299999998</v>
      </c>
      <c r="H539" s="8">
        <f t="shared" ref="H539:H549" si="41">F539*G539</f>
        <v>4523.2404299999998</v>
      </c>
    </row>
    <row r="540" spans="2:8" s="1" customFormat="1" ht="38.25">
      <c r="B540" s="251" t="s">
        <v>2620</v>
      </c>
      <c r="C540" s="251" t="s">
        <v>2206</v>
      </c>
      <c r="D540" s="3" t="s">
        <v>941</v>
      </c>
      <c r="E540" s="4" t="s">
        <v>37</v>
      </c>
      <c r="F540" s="5" t="s">
        <v>803</v>
      </c>
      <c r="G540" s="105">
        <f>CPU!H1384</f>
        <v>17.022400000000001</v>
      </c>
      <c r="H540" s="8">
        <f t="shared" si="41"/>
        <v>3149.1440000000002</v>
      </c>
    </row>
    <row r="541" spans="2:8" s="1" customFormat="1" ht="26.25" customHeight="1">
      <c r="B541" s="251" t="s">
        <v>2621</v>
      </c>
      <c r="C541" s="251" t="s">
        <v>942</v>
      </c>
      <c r="D541" s="3" t="s">
        <v>943</v>
      </c>
      <c r="E541" s="4" t="s">
        <v>15</v>
      </c>
      <c r="F541" s="5" t="s">
        <v>944</v>
      </c>
      <c r="G541" s="105">
        <v>67.23</v>
      </c>
      <c r="H541" s="8">
        <f t="shared" si="41"/>
        <v>37312.65</v>
      </c>
    </row>
    <row r="542" spans="2:8" s="1" customFormat="1" ht="15" customHeight="1">
      <c r="B542" s="251"/>
      <c r="C542" s="251"/>
      <c r="D542" s="274" t="s">
        <v>1191</v>
      </c>
      <c r="E542" s="275"/>
      <c r="F542" s="276"/>
      <c r="G542" s="276"/>
      <c r="H542" s="277">
        <f>SUM(H539:H541)</f>
        <v>44985.03443</v>
      </c>
    </row>
    <row r="543" spans="2:8" s="212" customFormat="1" ht="15" customHeight="1">
      <c r="B543" s="244" t="s">
        <v>945</v>
      </c>
      <c r="C543" s="244"/>
      <c r="D543" s="245" t="s">
        <v>946</v>
      </c>
      <c r="E543" s="245"/>
      <c r="F543" s="245"/>
      <c r="G543" s="245"/>
      <c r="H543" s="279" t="s">
        <v>1155</v>
      </c>
    </row>
    <row r="544" spans="2:8" s="212" customFormat="1" ht="15" customHeight="1">
      <c r="B544" s="250" t="s">
        <v>947</v>
      </c>
      <c r="C544" s="250"/>
      <c r="D544" s="268" t="s">
        <v>948</v>
      </c>
      <c r="E544" s="268"/>
      <c r="F544" s="268"/>
      <c r="G544" s="268"/>
      <c r="H544" s="271" t="s">
        <v>1155</v>
      </c>
    </row>
    <row r="545" spans="2:8" s="1" customFormat="1" ht="25.5">
      <c r="B545" s="251" t="s">
        <v>2622</v>
      </c>
      <c r="C545" s="251" t="s">
        <v>2135</v>
      </c>
      <c r="D545" s="214" t="s">
        <v>949</v>
      </c>
      <c r="E545" s="4" t="s">
        <v>37</v>
      </c>
      <c r="F545" s="5" t="s">
        <v>38</v>
      </c>
      <c r="G545" s="105">
        <f>CPU!H1390</f>
        <v>4630.9800000000005</v>
      </c>
      <c r="H545" s="8">
        <f t="shared" si="41"/>
        <v>4630.9800000000005</v>
      </c>
    </row>
    <row r="546" spans="2:8" s="1" customFormat="1" ht="27.75" customHeight="1">
      <c r="B546" s="251" t="s">
        <v>2623</v>
      </c>
      <c r="C546" s="251" t="s">
        <v>2137</v>
      </c>
      <c r="D546" s="3" t="s">
        <v>950</v>
      </c>
      <c r="E546" s="4" t="s">
        <v>37</v>
      </c>
      <c r="F546" s="5" t="s">
        <v>588</v>
      </c>
      <c r="G546" s="105">
        <f>CPU!H1405</f>
        <v>276.85674999999998</v>
      </c>
      <c r="H546" s="8">
        <f t="shared" si="41"/>
        <v>1384.2837499999998</v>
      </c>
    </row>
    <row r="547" spans="2:8" s="1" customFormat="1" ht="30" customHeight="1">
      <c r="B547" s="251" t="s">
        <v>2624</v>
      </c>
      <c r="C547" s="251" t="s">
        <v>2140</v>
      </c>
      <c r="D547" s="3" t="s">
        <v>951</v>
      </c>
      <c r="E547" s="4" t="s">
        <v>37</v>
      </c>
      <c r="F547" s="5" t="s">
        <v>38</v>
      </c>
      <c r="G547" s="105">
        <f>CPU!H1420</f>
        <v>1630.669494</v>
      </c>
      <c r="H547" s="8">
        <f t="shared" si="41"/>
        <v>1630.669494</v>
      </c>
    </row>
    <row r="548" spans="2:8" s="1" customFormat="1" ht="25.5">
      <c r="B548" s="251" t="s">
        <v>2625</v>
      </c>
      <c r="C548" s="251" t="s">
        <v>2230</v>
      </c>
      <c r="D548" s="3" t="s">
        <v>952</v>
      </c>
      <c r="E548" s="4" t="s">
        <v>37</v>
      </c>
      <c r="F548" s="5" t="s">
        <v>38</v>
      </c>
      <c r="G548" s="105">
        <v>926.58</v>
      </c>
      <c r="H548" s="8">
        <f t="shared" si="41"/>
        <v>926.58</v>
      </c>
    </row>
    <row r="549" spans="2:8" s="1" customFormat="1" ht="24.75" customHeight="1">
      <c r="B549" s="251" t="s">
        <v>2626</v>
      </c>
      <c r="C549" s="251" t="s">
        <v>2231</v>
      </c>
      <c r="D549" s="3" t="s">
        <v>953</v>
      </c>
      <c r="E549" s="4" t="s">
        <v>37</v>
      </c>
      <c r="F549" s="5" t="s">
        <v>38</v>
      </c>
      <c r="G549" s="105">
        <v>380.01</v>
      </c>
      <c r="H549" s="8">
        <f t="shared" si="41"/>
        <v>380.01</v>
      </c>
    </row>
    <row r="550" spans="2:8" s="212" customFormat="1" ht="15" customHeight="1">
      <c r="B550" s="250" t="s">
        <v>954</v>
      </c>
      <c r="C550" s="250"/>
      <c r="D550" s="268" t="s">
        <v>955</v>
      </c>
      <c r="E550" s="268"/>
      <c r="F550" s="268"/>
      <c r="G550" s="268"/>
      <c r="H550" s="271" t="s">
        <v>1155</v>
      </c>
    </row>
    <row r="551" spans="2:8" s="1" customFormat="1" ht="51">
      <c r="B551" s="251" t="s">
        <v>2627</v>
      </c>
      <c r="C551" s="251" t="s">
        <v>2232</v>
      </c>
      <c r="D551" s="3" t="s">
        <v>956</v>
      </c>
      <c r="E551" s="4" t="s">
        <v>37</v>
      </c>
      <c r="F551" s="5" t="s">
        <v>38</v>
      </c>
      <c r="G551" s="105">
        <v>265.51</v>
      </c>
      <c r="H551" s="8">
        <f t="shared" ref="H551:H552" si="42">F551*G551</f>
        <v>265.51</v>
      </c>
    </row>
    <row r="552" spans="2:8" s="1" customFormat="1" ht="51">
      <c r="B552" s="251" t="s">
        <v>2628</v>
      </c>
      <c r="C552" s="251" t="s">
        <v>2233</v>
      </c>
      <c r="D552" s="3" t="s">
        <v>957</v>
      </c>
      <c r="E552" s="4" t="s">
        <v>37</v>
      </c>
      <c r="F552" s="5" t="s">
        <v>583</v>
      </c>
      <c r="G552" s="105">
        <v>138.62</v>
      </c>
      <c r="H552" s="8">
        <f t="shared" si="42"/>
        <v>831.72</v>
      </c>
    </row>
    <row r="553" spans="2:8" s="212" customFormat="1" ht="15" customHeight="1">
      <c r="B553" s="250" t="s">
        <v>958</v>
      </c>
      <c r="C553" s="250"/>
      <c r="D553" s="268" t="s">
        <v>959</v>
      </c>
      <c r="E553" s="268"/>
      <c r="F553" s="268"/>
      <c r="G553" s="268"/>
      <c r="H553" s="271" t="s">
        <v>1155</v>
      </c>
    </row>
    <row r="554" spans="2:8" s="1" customFormat="1" ht="38.25">
      <c r="B554" s="251" t="s">
        <v>2629</v>
      </c>
      <c r="C554" s="251" t="s">
        <v>2108</v>
      </c>
      <c r="D554" s="3" t="s">
        <v>891</v>
      </c>
      <c r="E554" s="4" t="s">
        <v>15</v>
      </c>
      <c r="F554" s="5">
        <v>12</v>
      </c>
      <c r="G554" s="105">
        <f>CPU!H1242</f>
        <v>58.806646643914917</v>
      </c>
      <c r="H554" s="8">
        <f t="shared" ref="H554:H577" si="43">F554*G554</f>
        <v>705.679759726979</v>
      </c>
    </row>
    <row r="555" spans="2:8" s="1" customFormat="1" ht="38.25">
      <c r="B555" s="251" t="s">
        <v>2630</v>
      </c>
      <c r="C555" s="251" t="s">
        <v>2116</v>
      </c>
      <c r="D555" s="3" t="s">
        <v>892</v>
      </c>
      <c r="E555" s="4" t="s">
        <v>15</v>
      </c>
      <c r="F555" s="5" t="s">
        <v>583</v>
      </c>
      <c r="G555" s="105">
        <f>CPU!H1257</f>
        <v>56.177036528007406</v>
      </c>
      <c r="H555" s="8">
        <f t="shared" si="43"/>
        <v>337.06221916804441</v>
      </c>
    </row>
    <row r="556" spans="2:8" s="1" customFormat="1" ht="27.75" customHeight="1">
      <c r="B556" s="251" t="s">
        <v>2631</v>
      </c>
      <c r="C556" s="251" t="s">
        <v>2141</v>
      </c>
      <c r="D556" s="3" t="s">
        <v>960</v>
      </c>
      <c r="E556" s="4" t="s">
        <v>15</v>
      </c>
      <c r="F556" s="5" t="s">
        <v>583</v>
      </c>
      <c r="G556" s="105">
        <f>CPU!H1435</f>
        <v>65.12766883678492</v>
      </c>
      <c r="H556" s="8">
        <f t="shared" si="43"/>
        <v>390.76601302070952</v>
      </c>
    </row>
    <row r="557" spans="2:8" s="1" customFormat="1" ht="27.75" customHeight="1">
      <c r="B557" s="251" t="s">
        <v>2632</v>
      </c>
      <c r="C557" s="251" t="s">
        <v>2123</v>
      </c>
      <c r="D557" s="3" t="s">
        <v>894</v>
      </c>
      <c r="E557" s="4" t="s">
        <v>15</v>
      </c>
      <c r="F557" s="5">
        <v>10</v>
      </c>
      <c r="G557" s="105">
        <f>CPU!H1287</f>
        <v>86.43270273561842</v>
      </c>
      <c r="H557" s="8">
        <f t="shared" si="43"/>
        <v>864.3270273561842</v>
      </c>
    </row>
    <row r="558" spans="2:8" s="1" customFormat="1" ht="38.25">
      <c r="B558" s="251" t="s">
        <v>2633</v>
      </c>
      <c r="C558" s="251" t="s">
        <v>2144</v>
      </c>
      <c r="D558" s="3" t="s">
        <v>961</v>
      </c>
      <c r="E558" s="4" t="s">
        <v>15</v>
      </c>
      <c r="F558" s="5" t="s">
        <v>593</v>
      </c>
      <c r="G558" s="105">
        <f>CPU!H1451</f>
        <v>91.157839630218433</v>
      </c>
      <c r="H558" s="8">
        <f t="shared" si="43"/>
        <v>638.10487741152906</v>
      </c>
    </row>
    <row r="559" spans="2:8" s="1" customFormat="1" ht="38.25">
      <c r="B559" s="251" t="s">
        <v>2634</v>
      </c>
      <c r="C559" s="251" t="s">
        <v>2200</v>
      </c>
      <c r="D559" s="3" t="s">
        <v>699</v>
      </c>
      <c r="E559" s="4" t="s">
        <v>24</v>
      </c>
      <c r="F559" s="5">
        <v>8.6</v>
      </c>
      <c r="G559" s="105">
        <f>CPU!H993</f>
        <v>21.350875880640004</v>
      </c>
      <c r="H559" s="8">
        <f t="shared" si="43"/>
        <v>183.61753257350404</v>
      </c>
    </row>
    <row r="560" spans="2:8" s="1" customFormat="1" ht="38.25">
      <c r="B560" s="251" t="s">
        <v>2635</v>
      </c>
      <c r="C560" s="251" t="s">
        <v>840</v>
      </c>
      <c r="D560" s="3" t="s">
        <v>841</v>
      </c>
      <c r="E560" s="4" t="s">
        <v>15</v>
      </c>
      <c r="F560" s="5" t="s">
        <v>962</v>
      </c>
      <c r="G560" s="105">
        <v>13.7</v>
      </c>
      <c r="H560" s="8">
        <f t="shared" si="43"/>
        <v>6534.9</v>
      </c>
    </row>
    <row r="561" spans="2:8" s="1" customFormat="1" ht="38.25">
      <c r="B561" s="251" t="s">
        <v>2636</v>
      </c>
      <c r="C561" s="251" t="s">
        <v>842</v>
      </c>
      <c r="D561" s="3" t="s">
        <v>843</v>
      </c>
      <c r="E561" s="4" t="s">
        <v>15</v>
      </c>
      <c r="F561" s="5" t="s">
        <v>46</v>
      </c>
      <c r="G561" s="105">
        <v>17.61</v>
      </c>
      <c r="H561" s="8">
        <f t="shared" si="43"/>
        <v>281.76</v>
      </c>
    </row>
    <row r="562" spans="2:8" s="1" customFormat="1" ht="40.5" customHeight="1">
      <c r="B562" s="251" t="s">
        <v>2637</v>
      </c>
      <c r="C562" s="251" t="s">
        <v>963</v>
      </c>
      <c r="D562" s="3" t="s">
        <v>964</v>
      </c>
      <c r="E562" s="4" t="s">
        <v>37</v>
      </c>
      <c r="F562" s="5" t="s">
        <v>965</v>
      </c>
      <c r="G562" s="105">
        <v>16.43</v>
      </c>
      <c r="H562" s="8">
        <f t="shared" si="43"/>
        <v>2070.1799999999998</v>
      </c>
    </row>
    <row r="563" spans="2:8" s="1" customFormat="1" ht="39" customHeight="1">
      <c r="B563" s="251" t="s">
        <v>2638</v>
      </c>
      <c r="C563" s="251" t="s">
        <v>966</v>
      </c>
      <c r="D563" s="3" t="s">
        <v>967</v>
      </c>
      <c r="E563" s="4" t="s">
        <v>37</v>
      </c>
      <c r="F563" s="5" t="s">
        <v>49</v>
      </c>
      <c r="G563" s="105">
        <v>19.63</v>
      </c>
      <c r="H563" s="8">
        <f t="shared" si="43"/>
        <v>78.52</v>
      </c>
    </row>
    <row r="564" spans="2:8" s="1" customFormat="1" ht="25.5">
      <c r="B564" s="251" t="s">
        <v>2639</v>
      </c>
      <c r="C564" s="251" t="s">
        <v>849</v>
      </c>
      <c r="D564" s="3" t="s">
        <v>850</v>
      </c>
      <c r="E564" s="4" t="s">
        <v>15</v>
      </c>
      <c r="F564" s="5" t="s">
        <v>968</v>
      </c>
      <c r="G564" s="105">
        <v>17.670000000000002</v>
      </c>
      <c r="H564" s="8">
        <f t="shared" si="43"/>
        <v>1448.94</v>
      </c>
    </row>
    <row r="565" spans="2:8" s="1" customFormat="1" ht="25.5">
      <c r="B565" s="251" t="s">
        <v>2640</v>
      </c>
      <c r="C565" s="251" t="s">
        <v>969</v>
      </c>
      <c r="D565" s="3" t="s">
        <v>970</v>
      </c>
      <c r="E565" s="4" t="s">
        <v>15</v>
      </c>
      <c r="F565" s="5" t="s">
        <v>971</v>
      </c>
      <c r="G565" s="105">
        <v>37.04</v>
      </c>
      <c r="H565" s="8">
        <f t="shared" si="43"/>
        <v>3481.7599999999998</v>
      </c>
    </row>
    <row r="566" spans="2:8" s="1" customFormat="1" ht="30" customHeight="1">
      <c r="B566" s="251" t="s">
        <v>2641</v>
      </c>
      <c r="C566" s="251" t="s">
        <v>854</v>
      </c>
      <c r="D566" s="3" t="s">
        <v>855</v>
      </c>
      <c r="E566" s="4" t="s">
        <v>37</v>
      </c>
      <c r="F566" s="5" t="s">
        <v>667</v>
      </c>
      <c r="G566" s="105">
        <v>22.17</v>
      </c>
      <c r="H566" s="8">
        <f t="shared" si="43"/>
        <v>288.21000000000004</v>
      </c>
    </row>
    <row r="567" spans="2:8" s="1" customFormat="1" ht="28.5" customHeight="1">
      <c r="B567" s="251" t="s">
        <v>2642</v>
      </c>
      <c r="C567" s="251" t="s">
        <v>972</v>
      </c>
      <c r="D567" s="3" t="s">
        <v>973</v>
      </c>
      <c r="E567" s="4" t="s">
        <v>37</v>
      </c>
      <c r="F567" s="5" t="s">
        <v>367</v>
      </c>
      <c r="G567" s="105">
        <v>49.83</v>
      </c>
      <c r="H567" s="8">
        <f t="shared" si="43"/>
        <v>99.66</v>
      </c>
    </row>
    <row r="568" spans="2:8" s="1" customFormat="1" ht="63.75">
      <c r="B568" s="251" t="s">
        <v>2643</v>
      </c>
      <c r="C568" s="251" t="s">
        <v>974</v>
      </c>
      <c r="D568" s="3" t="s">
        <v>975</v>
      </c>
      <c r="E568" s="4" t="s">
        <v>37</v>
      </c>
      <c r="F568" s="5" t="s">
        <v>367</v>
      </c>
      <c r="G568" s="105">
        <v>313.58</v>
      </c>
      <c r="H568" s="8">
        <f t="shared" si="43"/>
        <v>627.16</v>
      </c>
    </row>
    <row r="569" spans="2:8" s="212" customFormat="1" ht="15" customHeight="1">
      <c r="B569" s="250" t="s">
        <v>976</v>
      </c>
      <c r="C569" s="250"/>
      <c r="D569" s="268" t="s">
        <v>857</v>
      </c>
      <c r="E569" s="268"/>
      <c r="F569" s="268"/>
      <c r="G569" s="268"/>
      <c r="H569" s="271" t="s">
        <v>1155</v>
      </c>
    </row>
    <row r="570" spans="2:8" s="1" customFormat="1" ht="25.5">
      <c r="B570" s="251" t="s">
        <v>2644</v>
      </c>
      <c r="C570" s="251" t="s">
        <v>2145</v>
      </c>
      <c r="D570" s="214" t="s">
        <v>977</v>
      </c>
      <c r="E570" s="4" t="s">
        <v>15</v>
      </c>
      <c r="F570" s="5" t="s">
        <v>978</v>
      </c>
      <c r="G570" s="105">
        <f>CPU!H1457</f>
        <v>69.551400000000001</v>
      </c>
      <c r="H570" s="8">
        <f t="shared" si="43"/>
        <v>8067.9624000000003</v>
      </c>
    </row>
    <row r="571" spans="2:8" s="1" customFormat="1" ht="18" customHeight="1">
      <c r="B571" s="251" t="s">
        <v>2645</v>
      </c>
      <c r="C571" s="251" t="s">
        <v>2207</v>
      </c>
      <c r="D571" s="3" t="s">
        <v>2208</v>
      </c>
      <c r="E571" s="4" t="s">
        <v>15</v>
      </c>
      <c r="F571" s="5" t="s">
        <v>979</v>
      </c>
      <c r="G571" s="105">
        <v>4.58</v>
      </c>
      <c r="H571" s="8">
        <f t="shared" si="43"/>
        <v>490.06</v>
      </c>
    </row>
    <row r="572" spans="2:8" s="1" customFormat="1" ht="25.5" customHeight="1">
      <c r="B572" s="251" t="s">
        <v>2646</v>
      </c>
      <c r="C572" s="251" t="s">
        <v>980</v>
      </c>
      <c r="D572" s="3" t="s">
        <v>981</v>
      </c>
      <c r="E572" s="4" t="s">
        <v>15</v>
      </c>
      <c r="F572" s="5" t="s">
        <v>982</v>
      </c>
      <c r="G572" s="105">
        <v>19.73</v>
      </c>
      <c r="H572" s="8">
        <f t="shared" si="43"/>
        <v>2722.7400000000002</v>
      </c>
    </row>
    <row r="573" spans="2:8" s="1" customFormat="1" ht="38.25">
      <c r="B573" s="251" t="s">
        <v>2647</v>
      </c>
      <c r="C573" s="251" t="s">
        <v>983</v>
      </c>
      <c r="D573" s="3" t="s">
        <v>984</v>
      </c>
      <c r="E573" s="4" t="s">
        <v>15</v>
      </c>
      <c r="F573" s="5" t="s">
        <v>985</v>
      </c>
      <c r="G573" s="105">
        <v>3.47</v>
      </c>
      <c r="H573" s="8">
        <f t="shared" si="43"/>
        <v>7717.2800000000007</v>
      </c>
    </row>
    <row r="574" spans="2:8" s="212" customFormat="1" ht="15" customHeight="1">
      <c r="B574" s="251"/>
      <c r="C574" s="251"/>
      <c r="D574" s="274" t="s">
        <v>1192</v>
      </c>
      <c r="E574" s="275"/>
      <c r="F574" s="276"/>
      <c r="G574" s="276"/>
      <c r="H574" s="277">
        <f>SUM(H545:H573)</f>
        <v>47078.443073256938</v>
      </c>
    </row>
    <row r="575" spans="2:8" s="212" customFormat="1" ht="15" customHeight="1">
      <c r="B575" s="244" t="s">
        <v>986</v>
      </c>
      <c r="C575" s="244"/>
      <c r="D575" s="245" t="s">
        <v>987</v>
      </c>
      <c r="E575" s="245"/>
      <c r="F575" s="245"/>
      <c r="G575" s="245"/>
      <c r="H575" s="279" t="s">
        <v>1155</v>
      </c>
    </row>
    <row r="576" spans="2:8" s="212" customFormat="1" ht="15" customHeight="1">
      <c r="B576" s="250" t="s">
        <v>988</v>
      </c>
      <c r="C576" s="250"/>
      <c r="D576" s="268" t="s">
        <v>989</v>
      </c>
      <c r="E576" s="268"/>
      <c r="F576" s="268"/>
      <c r="G576" s="268"/>
      <c r="H576" s="271" t="s">
        <v>1155</v>
      </c>
    </row>
    <row r="577" spans="2:8" s="1" customFormat="1" ht="25.5">
      <c r="B577" s="251" t="s">
        <v>2648</v>
      </c>
      <c r="C577" s="251" t="s">
        <v>2146</v>
      </c>
      <c r="D577" s="214" t="s">
        <v>990</v>
      </c>
      <c r="E577" s="4" t="s">
        <v>37</v>
      </c>
      <c r="F577" s="5" t="s">
        <v>38</v>
      </c>
      <c r="G577" s="105">
        <f>CPU!H1462</f>
        <v>1228.9721079999999</v>
      </c>
      <c r="H577" s="8">
        <f t="shared" si="43"/>
        <v>1228.9721079999999</v>
      </c>
    </row>
    <row r="578" spans="2:8" s="212" customFormat="1" ht="15" customHeight="1">
      <c r="B578" s="250" t="s">
        <v>991</v>
      </c>
      <c r="C578" s="250"/>
      <c r="D578" s="268" t="s">
        <v>992</v>
      </c>
      <c r="E578" s="268"/>
      <c r="F578" s="268"/>
      <c r="G578" s="268"/>
      <c r="H578" s="271" t="s">
        <v>1155</v>
      </c>
    </row>
    <row r="579" spans="2:8" s="1" customFormat="1" ht="15" customHeight="1">
      <c r="B579" s="251" t="s">
        <v>2649</v>
      </c>
      <c r="C579" s="251" t="s">
        <v>993</v>
      </c>
      <c r="D579" s="214" t="s">
        <v>994</v>
      </c>
      <c r="E579" s="4" t="s">
        <v>37</v>
      </c>
      <c r="F579" s="5" t="s">
        <v>614</v>
      </c>
      <c r="G579" s="284">
        <v>260.14</v>
      </c>
      <c r="H579" s="8">
        <f t="shared" ref="H579:H597" si="44">F579*G579</f>
        <v>5462.94</v>
      </c>
    </row>
    <row r="580" spans="2:8" s="1" customFormat="1" ht="15" customHeight="1">
      <c r="B580" s="251" t="s">
        <v>2650</v>
      </c>
      <c r="C580" s="251" t="s">
        <v>995</v>
      </c>
      <c r="D580" s="214" t="s">
        <v>996</v>
      </c>
      <c r="E580" s="4" t="s">
        <v>37</v>
      </c>
      <c r="F580" s="5" t="s">
        <v>289</v>
      </c>
      <c r="G580" s="284">
        <v>192.34</v>
      </c>
      <c r="H580" s="8">
        <f t="shared" si="44"/>
        <v>4231.4800000000005</v>
      </c>
    </row>
    <row r="581" spans="2:8" s="1" customFormat="1" ht="15" customHeight="1">
      <c r="B581" s="251" t="s">
        <v>2651</v>
      </c>
      <c r="C581" s="251" t="s">
        <v>997</v>
      </c>
      <c r="D581" s="214" t="s">
        <v>998</v>
      </c>
      <c r="E581" s="4" t="s">
        <v>37</v>
      </c>
      <c r="F581" s="5" t="s">
        <v>611</v>
      </c>
      <c r="G581" s="284">
        <v>211.9</v>
      </c>
      <c r="H581" s="8">
        <f t="shared" si="44"/>
        <v>1695.2</v>
      </c>
    </row>
    <row r="582" spans="2:8" s="1" customFormat="1" ht="15" customHeight="1">
      <c r="B582" s="251" t="s">
        <v>2652</v>
      </c>
      <c r="C582" s="251" t="s">
        <v>999</v>
      </c>
      <c r="D582" s="214" t="s">
        <v>1000</v>
      </c>
      <c r="E582" s="4" t="s">
        <v>37</v>
      </c>
      <c r="F582" s="5" t="s">
        <v>607</v>
      </c>
      <c r="G582" s="284">
        <v>211.9</v>
      </c>
      <c r="H582" s="8">
        <f t="shared" si="44"/>
        <v>31785</v>
      </c>
    </row>
    <row r="583" spans="2:8" s="212" customFormat="1" ht="15" customHeight="1">
      <c r="B583" s="250" t="s">
        <v>1001</v>
      </c>
      <c r="C583" s="250"/>
      <c r="D583" s="268" t="s">
        <v>805</v>
      </c>
      <c r="E583" s="268"/>
      <c r="F583" s="268"/>
      <c r="G583" s="268"/>
      <c r="H583" s="271" t="s">
        <v>1155</v>
      </c>
    </row>
    <row r="584" spans="2:8" s="1" customFormat="1" ht="38.25">
      <c r="B584" s="251" t="s">
        <v>2653</v>
      </c>
      <c r="C584" s="251" t="s">
        <v>2200</v>
      </c>
      <c r="D584" s="3" t="s">
        <v>699</v>
      </c>
      <c r="E584" s="4" t="s">
        <v>24</v>
      </c>
      <c r="F584" s="5" t="s">
        <v>978</v>
      </c>
      <c r="G584" s="105">
        <f>CPU!H993</f>
        <v>21.350875880640004</v>
      </c>
      <c r="H584" s="8">
        <f t="shared" si="44"/>
        <v>2476.7016021542404</v>
      </c>
    </row>
    <row r="585" spans="2:8" s="1" customFormat="1" ht="38.25">
      <c r="B585" s="251" t="s">
        <v>2654</v>
      </c>
      <c r="C585" s="251" t="s">
        <v>840</v>
      </c>
      <c r="D585" s="3" t="s">
        <v>841</v>
      </c>
      <c r="E585" s="4" t="s">
        <v>15</v>
      </c>
      <c r="F585" s="5" t="s">
        <v>700</v>
      </c>
      <c r="G585" s="105">
        <v>13.7</v>
      </c>
      <c r="H585" s="8">
        <f t="shared" si="44"/>
        <v>1000.0999999999999</v>
      </c>
    </row>
    <row r="586" spans="2:8" s="1" customFormat="1" ht="38.25">
      <c r="B586" s="251" t="s">
        <v>2655</v>
      </c>
      <c r="C586" s="251" t="s">
        <v>842</v>
      </c>
      <c r="D586" s="3" t="s">
        <v>843</v>
      </c>
      <c r="E586" s="4" t="s">
        <v>15</v>
      </c>
      <c r="F586" s="5" t="s">
        <v>1002</v>
      </c>
      <c r="G586" s="105">
        <v>17.61</v>
      </c>
      <c r="H586" s="8">
        <f t="shared" si="44"/>
        <v>1320.75</v>
      </c>
    </row>
    <row r="587" spans="2:8" s="1" customFormat="1" ht="39.75" customHeight="1">
      <c r="B587" s="251" t="s">
        <v>2656</v>
      </c>
      <c r="C587" s="251" t="s">
        <v>963</v>
      </c>
      <c r="D587" s="3" t="s">
        <v>964</v>
      </c>
      <c r="E587" s="4" t="s">
        <v>37</v>
      </c>
      <c r="F587" s="5" t="s">
        <v>593</v>
      </c>
      <c r="G587" s="105">
        <v>16.43</v>
      </c>
      <c r="H587" s="8">
        <f t="shared" si="44"/>
        <v>115.00999999999999</v>
      </c>
    </row>
    <row r="588" spans="2:8" s="1" customFormat="1" ht="40.5" customHeight="1">
      <c r="B588" s="251" t="s">
        <v>2657</v>
      </c>
      <c r="C588" s="251" t="s">
        <v>966</v>
      </c>
      <c r="D588" s="3" t="s">
        <v>967</v>
      </c>
      <c r="E588" s="4" t="s">
        <v>37</v>
      </c>
      <c r="F588" s="5" t="s">
        <v>575</v>
      </c>
      <c r="G588" s="105">
        <v>19.63</v>
      </c>
      <c r="H588" s="8">
        <f t="shared" si="44"/>
        <v>176.67</v>
      </c>
    </row>
    <row r="589" spans="2:8" s="1" customFormat="1" ht="41.25" customHeight="1">
      <c r="B589" s="251" t="s">
        <v>2658</v>
      </c>
      <c r="C589" s="251" t="s">
        <v>1003</v>
      </c>
      <c r="D589" s="3" t="s">
        <v>1004</v>
      </c>
      <c r="E589" s="4" t="s">
        <v>15</v>
      </c>
      <c r="F589" s="5" t="s">
        <v>1005</v>
      </c>
      <c r="G589" s="105">
        <v>29.22</v>
      </c>
      <c r="H589" s="8">
        <f t="shared" si="44"/>
        <v>27875.879999999997</v>
      </c>
    </row>
    <row r="590" spans="2:8" s="1" customFormat="1" ht="38.25">
      <c r="B590" s="251" t="s">
        <v>2659</v>
      </c>
      <c r="C590" s="251" t="s">
        <v>1006</v>
      </c>
      <c r="D590" s="3" t="s">
        <v>1007</v>
      </c>
      <c r="E590" s="4" t="s">
        <v>15</v>
      </c>
      <c r="F590" s="5" t="s">
        <v>1008</v>
      </c>
      <c r="G590" s="105">
        <v>34.72</v>
      </c>
      <c r="H590" s="8">
        <f t="shared" si="44"/>
        <v>14061.6</v>
      </c>
    </row>
    <row r="591" spans="2:8" s="1" customFormat="1" ht="37.5" customHeight="1">
      <c r="B591" s="251" t="s">
        <v>2660</v>
      </c>
      <c r="C591" s="251" t="s">
        <v>1009</v>
      </c>
      <c r="D591" s="3" t="s">
        <v>1010</v>
      </c>
      <c r="E591" s="4" t="s">
        <v>15</v>
      </c>
      <c r="F591" s="5" t="s">
        <v>1011</v>
      </c>
      <c r="G591" s="105">
        <v>53.9</v>
      </c>
      <c r="H591" s="8">
        <f t="shared" si="44"/>
        <v>3988.6</v>
      </c>
    </row>
    <row r="592" spans="2:8" s="1" customFormat="1" ht="38.25" customHeight="1">
      <c r="B592" s="251" t="s">
        <v>2661</v>
      </c>
      <c r="C592" s="251" t="s">
        <v>1012</v>
      </c>
      <c r="D592" s="3" t="s">
        <v>1013</v>
      </c>
      <c r="E592" s="4" t="s">
        <v>37</v>
      </c>
      <c r="F592" s="5" t="s">
        <v>1014</v>
      </c>
      <c r="G592" s="105">
        <v>32.85</v>
      </c>
      <c r="H592" s="8">
        <f t="shared" si="44"/>
        <v>4599</v>
      </c>
    </row>
    <row r="593" spans="2:8" s="1" customFormat="1" ht="38.25" customHeight="1">
      <c r="B593" s="251" t="s">
        <v>2662</v>
      </c>
      <c r="C593" s="251" t="s">
        <v>1015</v>
      </c>
      <c r="D593" s="3" t="s">
        <v>1016</v>
      </c>
      <c r="E593" s="4" t="s">
        <v>37</v>
      </c>
      <c r="F593" s="5" t="s">
        <v>913</v>
      </c>
      <c r="G593" s="105">
        <v>41.89</v>
      </c>
      <c r="H593" s="8">
        <f t="shared" si="44"/>
        <v>5655.15</v>
      </c>
    </row>
    <row r="594" spans="2:8" s="1" customFormat="1" ht="42" customHeight="1">
      <c r="B594" s="251" t="s">
        <v>2663</v>
      </c>
      <c r="C594" s="251" t="s">
        <v>1017</v>
      </c>
      <c r="D594" s="3" t="s">
        <v>1018</v>
      </c>
      <c r="E594" s="4" t="s">
        <v>37</v>
      </c>
      <c r="F594" s="5" t="s">
        <v>583</v>
      </c>
      <c r="G594" s="105">
        <v>53.64</v>
      </c>
      <c r="H594" s="8">
        <f t="shared" si="44"/>
        <v>321.84000000000003</v>
      </c>
    </row>
    <row r="595" spans="2:8" s="212" customFormat="1" ht="15" customHeight="1">
      <c r="B595" s="250" t="s">
        <v>1019</v>
      </c>
      <c r="C595" s="250"/>
      <c r="D595" s="268" t="s">
        <v>857</v>
      </c>
      <c r="E595" s="268"/>
      <c r="F595" s="268"/>
      <c r="G595" s="268"/>
      <c r="H595" s="271" t="s">
        <v>1155</v>
      </c>
    </row>
    <row r="596" spans="2:8" s="1" customFormat="1" ht="25.5">
      <c r="B596" s="251" t="s">
        <v>2664</v>
      </c>
      <c r="C596" s="251" t="s">
        <v>2148</v>
      </c>
      <c r="D596" s="214" t="s">
        <v>1020</v>
      </c>
      <c r="E596" s="4" t="s">
        <v>15</v>
      </c>
      <c r="F596" s="5" t="s">
        <v>1021</v>
      </c>
      <c r="G596" s="105">
        <f>CPU!H1468</f>
        <v>8.2226999999999997</v>
      </c>
      <c r="H596" s="8">
        <f t="shared" si="44"/>
        <v>4637.6027999999997</v>
      </c>
    </row>
    <row r="597" spans="2:8" s="1" customFormat="1" ht="25.5">
      <c r="B597" s="251" t="s">
        <v>2665</v>
      </c>
      <c r="C597" s="251" t="s">
        <v>2149</v>
      </c>
      <c r="D597" s="214" t="s">
        <v>1022</v>
      </c>
      <c r="E597" s="4" t="s">
        <v>15</v>
      </c>
      <c r="F597" s="5" t="s">
        <v>1023</v>
      </c>
      <c r="G597" s="105">
        <f>CPU!H1474</f>
        <v>8.8106999999999989</v>
      </c>
      <c r="H597" s="8">
        <f t="shared" si="44"/>
        <v>8105.8439999999991</v>
      </c>
    </row>
    <row r="598" spans="2:8" s="212" customFormat="1" ht="15" customHeight="1">
      <c r="B598" s="250" t="s">
        <v>1024</v>
      </c>
      <c r="C598" s="250"/>
      <c r="D598" s="268" t="s">
        <v>1025</v>
      </c>
      <c r="E598" s="268"/>
      <c r="F598" s="268"/>
      <c r="G598" s="268"/>
      <c r="H598" s="271" t="s">
        <v>1155</v>
      </c>
    </row>
    <row r="599" spans="2:8" s="1" customFormat="1" ht="25.5">
      <c r="B599" s="251" t="s">
        <v>2666</v>
      </c>
      <c r="C599" s="251" t="s">
        <v>2150</v>
      </c>
      <c r="D599" s="214" t="s">
        <v>1026</v>
      </c>
      <c r="E599" s="4" t="s">
        <v>37</v>
      </c>
      <c r="F599" s="5" t="s">
        <v>49</v>
      </c>
      <c r="G599" s="105">
        <f>CPU!H1480</f>
        <v>216.64573899999999</v>
      </c>
      <c r="H599" s="8">
        <f t="shared" ref="H599:H604" si="45">F599*G599</f>
        <v>866.58295599999997</v>
      </c>
    </row>
    <row r="600" spans="2:8" s="1" customFormat="1" ht="38.25">
      <c r="B600" s="251" t="s">
        <v>2667</v>
      </c>
      <c r="C600" s="251">
        <v>37556</v>
      </c>
      <c r="D600" s="3" t="s">
        <v>1027</v>
      </c>
      <c r="E600" s="4" t="s">
        <v>37</v>
      </c>
      <c r="F600" s="5" t="s">
        <v>1002</v>
      </c>
      <c r="G600" s="105">
        <v>27.94</v>
      </c>
      <c r="H600" s="8">
        <f t="shared" si="45"/>
        <v>2095.5</v>
      </c>
    </row>
    <row r="601" spans="2:8" s="1" customFormat="1" ht="51">
      <c r="B601" s="251" t="s">
        <v>2668</v>
      </c>
      <c r="C601" s="251">
        <v>37559</v>
      </c>
      <c r="D601" s="3" t="s">
        <v>1028</v>
      </c>
      <c r="E601" s="4" t="s">
        <v>37</v>
      </c>
      <c r="F601" s="5" t="s">
        <v>49</v>
      </c>
      <c r="G601" s="105">
        <v>34.28</v>
      </c>
      <c r="H601" s="8">
        <f t="shared" si="45"/>
        <v>137.12</v>
      </c>
    </row>
    <row r="602" spans="2:8" s="1" customFormat="1" ht="38.25">
      <c r="B602" s="251" t="s">
        <v>2669</v>
      </c>
      <c r="C602" s="251">
        <v>37560</v>
      </c>
      <c r="D602" s="3" t="s">
        <v>1029</v>
      </c>
      <c r="E602" s="4" t="s">
        <v>37</v>
      </c>
      <c r="F602" s="5" t="s">
        <v>1030</v>
      </c>
      <c r="G602" s="105">
        <v>47.56</v>
      </c>
      <c r="H602" s="8">
        <f t="shared" si="45"/>
        <v>6373.04</v>
      </c>
    </row>
    <row r="603" spans="2:8" s="1" customFormat="1" ht="38.25">
      <c r="B603" s="251" t="s">
        <v>2670</v>
      </c>
      <c r="C603" s="251">
        <v>37561</v>
      </c>
      <c r="D603" s="3" t="s">
        <v>1031</v>
      </c>
      <c r="E603" s="4" t="s">
        <v>37</v>
      </c>
      <c r="F603" s="5" t="s">
        <v>583</v>
      </c>
      <c r="G603" s="105" t="s">
        <v>1032</v>
      </c>
      <c r="H603" s="8">
        <f t="shared" si="45"/>
        <v>379.5</v>
      </c>
    </row>
    <row r="604" spans="2:8" s="1" customFormat="1" ht="25.5">
      <c r="B604" s="251" t="s">
        <v>2671</v>
      </c>
      <c r="C604" s="251" t="s">
        <v>911</v>
      </c>
      <c r="D604" s="3" t="s">
        <v>912</v>
      </c>
      <c r="E604" s="4" t="s">
        <v>37</v>
      </c>
      <c r="F604" s="5" t="s">
        <v>913</v>
      </c>
      <c r="G604" s="105">
        <v>29.78</v>
      </c>
      <c r="H604" s="8">
        <f t="shared" si="45"/>
        <v>4020.3</v>
      </c>
    </row>
    <row r="605" spans="2:8" s="1" customFormat="1" ht="15" customHeight="1">
      <c r="B605" s="251"/>
      <c r="C605" s="251"/>
      <c r="D605" s="274" t="s">
        <v>1193</v>
      </c>
      <c r="E605" s="275"/>
      <c r="F605" s="276"/>
      <c r="G605" s="276"/>
      <c r="H605" s="277">
        <f>SUM(H577:H604)</f>
        <v>132610.38346615419</v>
      </c>
    </row>
    <row r="606" spans="2:8" s="212" customFormat="1" ht="20.100000000000001" customHeight="1">
      <c r="B606" s="253"/>
      <c r="C606" s="259"/>
      <c r="D606" s="260" t="s">
        <v>2799</v>
      </c>
      <c r="E606" s="261"/>
      <c r="F606" s="262"/>
      <c r="G606" s="262"/>
      <c r="H606" s="263">
        <f>H518+H537+H542+H574+H605</f>
        <v>1098644.3413434215</v>
      </c>
    </row>
    <row r="607" spans="2:8" s="212" customFormat="1" ht="20.100000000000001" customHeight="1">
      <c r="B607" s="257" t="s">
        <v>1033</v>
      </c>
      <c r="C607" s="257"/>
      <c r="D607" s="286" t="s">
        <v>1034</v>
      </c>
      <c r="E607" s="286"/>
      <c r="F607" s="286"/>
      <c r="G607" s="286"/>
      <c r="H607" s="287" t="s">
        <v>1155</v>
      </c>
    </row>
    <row r="608" spans="2:8" s="212" customFormat="1" ht="15" customHeight="1">
      <c r="B608" s="244" t="s">
        <v>1875</v>
      </c>
      <c r="C608" s="244"/>
      <c r="D608" s="245" t="s">
        <v>1876</v>
      </c>
      <c r="E608" s="245"/>
      <c r="F608" s="245"/>
      <c r="G608" s="245"/>
      <c r="H608" s="279" t="s">
        <v>1155</v>
      </c>
    </row>
    <row r="609" spans="2:8" s="212" customFormat="1" ht="15" customHeight="1">
      <c r="B609" s="250" t="s">
        <v>1877</v>
      </c>
      <c r="C609" s="250"/>
      <c r="D609" s="268" t="s">
        <v>1878</v>
      </c>
      <c r="E609" s="268"/>
      <c r="F609" s="268"/>
      <c r="G609" s="268"/>
      <c r="H609" s="271" t="s">
        <v>1155</v>
      </c>
    </row>
    <row r="610" spans="2:8" s="1" customFormat="1" ht="51.75" customHeight="1">
      <c r="B610" s="251" t="s">
        <v>2672</v>
      </c>
      <c r="C610" s="251" t="s">
        <v>1879</v>
      </c>
      <c r="D610" s="3" t="s">
        <v>1880</v>
      </c>
      <c r="E610" s="4" t="s">
        <v>15</v>
      </c>
      <c r="F610" s="5">
        <v>365</v>
      </c>
      <c r="G610" s="105">
        <v>56.96</v>
      </c>
      <c r="H610" s="8">
        <f t="shared" ref="H610:H611" si="46">F610*G610</f>
        <v>20790.400000000001</v>
      </c>
    </row>
    <row r="611" spans="2:8" s="1" customFormat="1" ht="51.75" customHeight="1">
      <c r="B611" s="251" t="s">
        <v>2673</v>
      </c>
      <c r="C611" s="251" t="s">
        <v>1881</v>
      </c>
      <c r="D611" s="3" t="s">
        <v>1882</v>
      </c>
      <c r="E611" s="4" t="s">
        <v>15</v>
      </c>
      <c r="F611" s="5">
        <v>365</v>
      </c>
      <c r="G611" s="105">
        <v>87.59</v>
      </c>
      <c r="H611" s="8">
        <f t="shared" si="46"/>
        <v>31970.350000000002</v>
      </c>
    </row>
    <row r="612" spans="2:8" s="212" customFormat="1" ht="15" customHeight="1">
      <c r="B612" s="251"/>
      <c r="C612" s="217"/>
      <c r="D612" s="274" t="s">
        <v>1883</v>
      </c>
      <c r="E612" s="275"/>
      <c r="F612" s="276"/>
      <c r="G612" s="276"/>
      <c r="H612" s="277">
        <f>SUM(H610:H611)</f>
        <v>52760.75</v>
      </c>
    </row>
    <row r="613" spans="2:8" s="212" customFormat="1" ht="15" customHeight="1">
      <c r="B613" s="244" t="s">
        <v>1035</v>
      </c>
      <c r="C613" s="244"/>
      <c r="D613" s="245" t="s">
        <v>1036</v>
      </c>
      <c r="E613" s="245"/>
      <c r="F613" s="245"/>
      <c r="G613" s="245"/>
      <c r="H613" s="279" t="s">
        <v>1155</v>
      </c>
    </row>
    <row r="614" spans="2:8" s="1" customFormat="1" ht="25.5" customHeight="1">
      <c r="B614" s="251" t="s">
        <v>2674</v>
      </c>
      <c r="C614" s="251" t="s">
        <v>2151</v>
      </c>
      <c r="D614" s="214" t="s">
        <v>1037</v>
      </c>
      <c r="E614" s="4" t="s">
        <v>663</v>
      </c>
      <c r="F614" s="5" t="s">
        <v>38</v>
      </c>
      <c r="G614" s="105">
        <f>CPU!H1493</f>
        <v>7242.3518699999995</v>
      </c>
      <c r="H614" s="8">
        <f t="shared" ref="H614:H616" si="47">F614*G614</f>
        <v>7242.3518699999995</v>
      </c>
    </row>
    <row r="615" spans="2:8" s="1" customFormat="1" ht="25.5" customHeight="1">
      <c r="B615" s="251" t="s">
        <v>2675</v>
      </c>
      <c r="C615" s="251" t="s">
        <v>2153</v>
      </c>
      <c r="D615" s="214" t="s">
        <v>1038</v>
      </c>
      <c r="E615" s="4" t="s">
        <v>15</v>
      </c>
      <c r="F615" s="5">
        <v>208</v>
      </c>
      <c r="G615" s="105">
        <f>CPU!H1500</f>
        <v>96.171199999999999</v>
      </c>
      <c r="H615" s="8">
        <f t="shared" si="47"/>
        <v>20003.6096</v>
      </c>
    </row>
    <row r="616" spans="2:8" s="1" customFormat="1" ht="25.5" customHeight="1">
      <c r="B616" s="251" t="s">
        <v>2676</v>
      </c>
      <c r="C616" s="251" t="s">
        <v>2154</v>
      </c>
      <c r="D616" s="216" t="s">
        <v>1884</v>
      </c>
      <c r="E616" s="102" t="s">
        <v>37</v>
      </c>
      <c r="F616" s="105">
        <v>10</v>
      </c>
      <c r="G616" s="105">
        <f>CPU!H1509</f>
        <v>349.06949700000001</v>
      </c>
      <c r="H616" s="8">
        <f t="shared" si="47"/>
        <v>3490.69497</v>
      </c>
    </row>
    <row r="617" spans="2:8" s="212" customFormat="1" ht="15" customHeight="1">
      <c r="B617" s="389"/>
      <c r="C617" s="217"/>
      <c r="D617" s="274" t="s">
        <v>1194</v>
      </c>
      <c r="E617" s="275"/>
      <c r="F617" s="276"/>
      <c r="G617" s="276"/>
      <c r="H617" s="277">
        <f>SUM(H614:H616)</f>
        <v>30736.656439999999</v>
      </c>
    </row>
    <row r="618" spans="2:8" s="212" customFormat="1" ht="20.100000000000001" customHeight="1">
      <c r="B618" s="253"/>
      <c r="C618" s="259"/>
      <c r="D618" s="260" t="s">
        <v>2800</v>
      </c>
      <c r="E618" s="261"/>
      <c r="F618" s="262"/>
      <c r="G618" s="262"/>
      <c r="H618" s="263">
        <f>H612+H617</f>
        <v>83497.406439999992</v>
      </c>
    </row>
    <row r="619" spans="2:8" s="212" customFormat="1" ht="20.100000000000001" customHeight="1">
      <c r="B619" s="257" t="s">
        <v>1039</v>
      </c>
      <c r="C619" s="257"/>
      <c r="D619" s="286" t="s">
        <v>1040</v>
      </c>
      <c r="E619" s="286"/>
      <c r="F619" s="286"/>
      <c r="G619" s="286"/>
      <c r="H619" s="287" t="s">
        <v>1155</v>
      </c>
    </row>
    <row r="620" spans="2:8" s="212" customFormat="1" ht="15" customHeight="1">
      <c r="B620" s="244" t="s">
        <v>1041</v>
      </c>
      <c r="C620" s="244"/>
      <c r="D620" s="245" t="s">
        <v>1042</v>
      </c>
      <c r="E620" s="245"/>
      <c r="F620" s="245"/>
      <c r="G620" s="245"/>
      <c r="H620" s="279" t="s">
        <v>1155</v>
      </c>
    </row>
    <row r="621" spans="2:8" s="212" customFormat="1" ht="15" customHeight="1">
      <c r="B621" s="250" t="s">
        <v>1043</v>
      </c>
      <c r="C621" s="250"/>
      <c r="D621" s="268" t="s">
        <v>1044</v>
      </c>
      <c r="E621" s="268"/>
      <c r="F621" s="268"/>
      <c r="G621" s="268"/>
      <c r="H621" s="271" t="s">
        <v>1155</v>
      </c>
    </row>
    <row r="622" spans="2:8" s="1" customFormat="1" ht="25.5">
      <c r="B622" s="251" t="s">
        <v>2677</v>
      </c>
      <c r="C622" s="251" t="s">
        <v>2155</v>
      </c>
      <c r="D622" s="3" t="s">
        <v>1045</v>
      </c>
      <c r="E622" s="4" t="s">
        <v>15</v>
      </c>
      <c r="F622" s="5" t="s">
        <v>646</v>
      </c>
      <c r="G622" s="105">
        <f>CPU!H1516</f>
        <v>388.28187204071997</v>
      </c>
      <c r="H622" s="8">
        <f t="shared" ref="H622:H642" si="48">F622*G622</f>
        <v>133568.96398200767</v>
      </c>
    </row>
    <row r="623" spans="2:8" s="1" customFormat="1" ht="25.5">
      <c r="B623" s="251" t="s">
        <v>2678</v>
      </c>
      <c r="C623" s="251" t="s">
        <v>2156</v>
      </c>
      <c r="D623" s="3" t="s">
        <v>1046</v>
      </c>
      <c r="E623" s="4" t="s">
        <v>15</v>
      </c>
      <c r="F623" s="5" t="s">
        <v>311</v>
      </c>
      <c r="G623" s="105">
        <f>CPU!H1523</f>
        <v>590.07520235648008</v>
      </c>
      <c r="H623" s="8">
        <f t="shared" si="48"/>
        <v>14161.804856555522</v>
      </c>
    </row>
    <row r="624" spans="2:8" s="1" customFormat="1" ht="25.5">
      <c r="B624" s="251" t="s">
        <v>2679</v>
      </c>
      <c r="C624" s="251" t="s">
        <v>2157</v>
      </c>
      <c r="D624" s="214" t="s">
        <v>1047</v>
      </c>
      <c r="E624" s="4" t="s">
        <v>37</v>
      </c>
      <c r="F624" s="5" t="s">
        <v>1048</v>
      </c>
      <c r="G624" s="105">
        <f>CPU!H1529</f>
        <v>304.80133616999996</v>
      </c>
      <c r="H624" s="8">
        <f t="shared" si="48"/>
        <v>29260.928272319994</v>
      </c>
    </row>
    <row r="625" spans="2:8" s="1" customFormat="1" ht="25.5">
      <c r="B625" s="251" t="s">
        <v>2680</v>
      </c>
      <c r="C625" s="251" t="s">
        <v>2158</v>
      </c>
      <c r="D625" s="214" t="s">
        <v>1049</v>
      </c>
      <c r="E625" s="4" t="s">
        <v>37</v>
      </c>
      <c r="F625" s="5" t="s">
        <v>358</v>
      </c>
      <c r="G625" s="105">
        <f>CPU!H1535</f>
        <v>515.96419143499998</v>
      </c>
      <c r="H625" s="8">
        <f t="shared" si="48"/>
        <v>1547.8925743049999</v>
      </c>
    </row>
    <row r="626" spans="2:8" s="1" customFormat="1" ht="25.5">
      <c r="B626" s="251" t="s">
        <v>2681</v>
      </c>
      <c r="C626" s="251">
        <v>101934</v>
      </c>
      <c r="D626" s="3" t="s">
        <v>2844</v>
      </c>
      <c r="E626" s="4" t="s">
        <v>37</v>
      </c>
      <c r="F626" s="5" t="s">
        <v>25</v>
      </c>
      <c r="G626" s="105">
        <v>282.07</v>
      </c>
      <c r="H626" s="8">
        <f t="shared" si="48"/>
        <v>7615.8899999999994</v>
      </c>
    </row>
    <row r="627" spans="2:8" s="1" customFormat="1" ht="25.5">
      <c r="B627" s="251" t="s">
        <v>2682</v>
      </c>
      <c r="C627" s="251" t="s">
        <v>2209</v>
      </c>
      <c r="D627" s="3" t="s">
        <v>2845</v>
      </c>
      <c r="E627" s="4" t="s">
        <v>37</v>
      </c>
      <c r="F627" s="5" t="s">
        <v>49</v>
      </c>
      <c r="G627" s="105">
        <f>CPU!H1543</f>
        <v>878.76855499999999</v>
      </c>
      <c r="H627" s="8">
        <f t="shared" si="48"/>
        <v>3515.07422</v>
      </c>
    </row>
    <row r="628" spans="2:8" s="1" customFormat="1" ht="38.25">
      <c r="B628" s="251" t="s">
        <v>2683</v>
      </c>
      <c r="C628" s="251" t="s">
        <v>2200</v>
      </c>
      <c r="D628" s="3" t="s">
        <v>699</v>
      </c>
      <c r="E628" s="4" t="s">
        <v>24</v>
      </c>
      <c r="F628" s="5" t="s">
        <v>1052</v>
      </c>
      <c r="G628" s="105">
        <f>CPU!H993</f>
        <v>21.350875880640004</v>
      </c>
      <c r="H628" s="8">
        <f t="shared" si="48"/>
        <v>6853.6311576854414</v>
      </c>
    </row>
    <row r="629" spans="2:8" s="1" customFormat="1" ht="51">
      <c r="B629" s="251" t="s">
        <v>2684</v>
      </c>
      <c r="C629" s="251" t="s">
        <v>1053</v>
      </c>
      <c r="D629" s="3" t="s">
        <v>1054</v>
      </c>
      <c r="E629" s="4" t="s">
        <v>37</v>
      </c>
      <c r="F629" s="5" t="s">
        <v>1055</v>
      </c>
      <c r="G629" s="105">
        <v>46.31</v>
      </c>
      <c r="H629" s="8">
        <f t="shared" si="48"/>
        <v>27600.760000000002</v>
      </c>
    </row>
    <row r="630" spans="2:8" s="1" customFormat="1" ht="51" customHeight="1">
      <c r="B630" s="251" t="s">
        <v>2685</v>
      </c>
      <c r="C630" s="251" t="s">
        <v>2234</v>
      </c>
      <c r="D630" s="3" t="s">
        <v>1056</v>
      </c>
      <c r="E630" s="4" t="s">
        <v>15</v>
      </c>
      <c r="F630" s="5" t="s">
        <v>1057</v>
      </c>
      <c r="G630" s="105">
        <v>59.31</v>
      </c>
      <c r="H630" s="8">
        <f t="shared" si="48"/>
        <v>68206.5</v>
      </c>
    </row>
    <row r="631" spans="2:8" s="1" customFormat="1" ht="51.75" customHeight="1">
      <c r="B631" s="251" t="s">
        <v>2686</v>
      </c>
      <c r="C631" s="251" t="s">
        <v>1058</v>
      </c>
      <c r="D631" s="3" t="s">
        <v>1059</v>
      </c>
      <c r="E631" s="4" t="s">
        <v>15</v>
      </c>
      <c r="F631" s="5" t="s">
        <v>289</v>
      </c>
      <c r="G631" s="105">
        <v>72.489999999999995</v>
      </c>
      <c r="H631" s="8">
        <f t="shared" si="48"/>
        <v>1594.78</v>
      </c>
    </row>
    <row r="632" spans="2:8" s="1" customFormat="1" ht="50.25" customHeight="1">
      <c r="B632" s="251" t="s">
        <v>2687</v>
      </c>
      <c r="C632" s="251" t="s">
        <v>1060</v>
      </c>
      <c r="D632" s="3" t="s">
        <v>1061</v>
      </c>
      <c r="E632" s="4" t="s">
        <v>15</v>
      </c>
      <c r="F632" s="5" t="s">
        <v>1014</v>
      </c>
      <c r="G632" s="105">
        <v>83.01</v>
      </c>
      <c r="H632" s="8">
        <f t="shared" si="48"/>
        <v>11621.400000000001</v>
      </c>
    </row>
    <row r="633" spans="2:8" s="1" customFormat="1" ht="52.5" customHeight="1">
      <c r="B633" s="251" t="s">
        <v>2688</v>
      </c>
      <c r="C633" s="251" t="s">
        <v>1062</v>
      </c>
      <c r="D633" s="3" t="s">
        <v>1063</v>
      </c>
      <c r="E633" s="4" t="s">
        <v>15</v>
      </c>
      <c r="F633" s="5" t="s">
        <v>1064</v>
      </c>
      <c r="G633" s="105">
        <v>115</v>
      </c>
      <c r="H633" s="8">
        <f t="shared" si="48"/>
        <v>19895</v>
      </c>
    </row>
    <row r="634" spans="2:8" s="1" customFormat="1" ht="51.75" customHeight="1">
      <c r="B634" s="251" t="s">
        <v>2689</v>
      </c>
      <c r="C634" s="251" t="s">
        <v>1065</v>
      </c>
      <c r="D634" s="3" t="s">
        <v>1066</v>
      </c>
      <c r="E634" s="4" t="s">
        <v>15</v>
      </c>
      <c r="F634" s="5" t="s">
        <v>1067</v>
      </c>
      <c r="G634" s="105">
        <v>140.82</v>
      </c>
      <c r="H634" s="8">
        <f t="shared" si="48"/>
        <v>33796.799999999996</v>
      </c>
    </row>
    <row r="635" spans="2:8" s="1" customFormat="1" ht="51" customHeight="1">
      <c r="B635" s="251" t="s">
        <v>2690</v>
      </c>
      <c r="C635" s="251" t="s">
        <v>1068</v>
      </c>
      <c r="D635" s="3" t="s">
        <v>1069</v>
      </c>
      <c r="E635" s="4" t="s">
        <v>15</v>
      </c>
      <c r="F635" s="5" t="s">
        <v>1070</v>
      </c>
      <c r="G635" s="105">
        <v>185.65</v>
      </c>
      <c r="H635" s="8">
        <f t="shared" si="48"/>
        <v>10767.7</v>
      </c>
    </row>
    <row r="636" spans="2:8" s="1" customFormat="1" ht="39" customHeight="1">
      <c r="B636" s="251" t="s">
        <v>2691</v>
      </c>
      <c r="C636" s="251" t="s">
        <v>1071</v>
      </c>
      <c r="D636" s="3" t="s">
        <v>1072</v>
      </c>
      <c r="E636" s="4" t="s">
        <v>37</v>
      </c>
      <c r="F636" s="5" t="s">
        <v>1073</v>
      </c>
      <c r="G636" s="105">
        <v>46.06</v>
      </c>
      <c r="H636" s="8">
        <f t="shared" si="48"/>
        <v>7876.26</v>
      </c>
    </row>
    <row r="637" spans="2:8" s="1" customFormat="1" ht="42" customHeight="1">
      <c r="B637" s="251" t="s">
        <v>2692</v>
      </c>
      <c r="C637" s="251" t="s">
        <v>1074</v>
      </c>
      <c r="D637" s="3" t="s">
        <v>1075</v>
      </c>
      <c r="E637" s="4" t="s">
        <v>37</v>
      </c>
      <c r="F637" s="5" t="s">
        <v>703</v>
      </c>
      <c r="G637" s="105">
        <v>148.83000000000001</v>
      </c>
      <c r="H637" s="8">
        <f t="shared" si="48"/>
        <v>9227.4600000000009</v>
      </c>
    </row>
    <row r="638" spans="2:8" s="1" customFormat="1" ht="63.75">
      <c r="B638" s="251" t="s">
        <v>2693</v>
      </c>
      <c r="C638" s="251" t="s">
        <v>1076</v>
      </c>
      <c r="D638" s="3" t="s">
        <v>1077</v>
      </c>
      <c r="E638" s="4" t="s">
        <v>37</v>
      </c>
      <c r="F638" s="5" t="s">
        <v>1078</v>
      </c>
      <c r="G638" s="105">
        <v>104.73</v>
      </c>
      <c r="H638" s="8">
        <f t="shared" si="48"/>
        <v>4189.2</v>
      </c>
    </row>
    <row r="639" spans="2:8" s="212" customFormat="1" ht="15" customHeight="1">
      <c r="B639" s="250" t="s">
        <v>1079</v>
      </c>
      <c r="C639" s="250"/>
      <c r="D639" s="268" t="s">
        <v>512</v>
      </c>
      <c r="E639" s="268"/>
      <c r="F639" s="268"/>
      <c r="G639" s="268"/>
      <c r="H639" s="271" t="s">
        <v>1155</v>
      </c>
    </row>
    <row r="640" spans="2:8" s="212" customFormat="1" ht="15" customHeight="1">
      <c r="B640" s="250" t="s">
        <v>1080</v>
      </c>
      <c r="C640" s="250"/>
      <c r="D640" s="268" t="s">
        <v>1081</v>
      </c>
      <c r="E640" s="268"/>
      <c r="F640" s="268"/>
      <c r="G640" s="268"/>
      <c r="H640" s="271" t="s">
        <v>1155</v>
      </c>
    </row>
    <row r="641" spans="2:8" s="1" customFormat="1" ht="18" customHeight="1">
      <c r="B641" s="251" t="s">
        <v>2694</v>
      </c>
      <c r="C641" s="251">
        <v>99626</v>
      </c>
      <c r="D641" s="214" t="s">
        <v>1082</v>
      </c>
      <c r="E641" s="4" t="s">
        <v>37</v>
      </c>
      <c r="F641" s="5" t="s">
        <v>593</v>
      </c>
      <c r="G641" s="105">
        <v>948.1</v>
      </c>
      <c r="H641" s="8">
        <f t="shared" si="48"/>
        <v>6636.7</v>
      </c>
    </row>
    <row r="642" spans="2:8" s="1" customFormat="1" ht="25.5">
      <c r="B642" s="251" t="s">
        <v>2695</v>
      </c>
      <c r="C642" s="251" t="s">
        <v>2162</v>
      </c>
      <c r="D642" s="214" t="s">
        <v>1083</v>
      </c>
      <c r="E642" s="4" t="s">
        <v>37</v>
      </c>
      <c r="F642" s="5" t="s">
        <v>38</v>
      </c>
      <c r="G642" s="105">
        <f>CPU!H1550</f>
        <v>1144.9419354057602</v>
      </c>
      <c r="H642" s="8">
        <f t="shared" si="48"/>
        <v>1144.9419354057602</v>
      </c>
    </row>
    <row r="643" spans="2:8" s="212" customFormat="1" ht="15" customHeight="1">
      <c r="B643" s="250" t="s">
        <v>1084</v>
      </c>
      <c r="C643" s="250"/>
      <c r="D643" s="268" t="s">
        <v>1085</v>
      </c>
      <c r="E643" s="268"/>
      <c r="F643" s="268"/>
      <c r="G643" s="268"/>
      <c r="H643" s="271" t="s">
        <v>1155</v>
      </c>
    </row>
    <row r="644" spans="2:8" s="1" customFormat="1" ht="25.5">
      <c r="B644" s="251" t="s">
        <v>2696</v>
      </c>
      <c r="C644" s="251" t="s">
        <v>2235</v>
      </c>
      <c r="D644" s="3" t="s">
        <v>1086</v>
      </c>
      <c r="E644" s="4" t="s">
        <v>37</v>
      </c>
      <c r="F644" s="5" t="s">
        <v>367</v>
      </c>
      <c r="G644" s="105">
        <v>3151.87</v>
      </c>
      <c r="H644" s="8">
        <f t="shared" ref="H644:H656" si="49">F644*G644</f>
        <v>6303.74</v>
      </c>
    </row>
    <row r="645" spans="2:8" s="212" customFormat="1" ht="15" customHeight="1">
      <c r="B645" s="250" t="s">
        <v>1087</v>
      </c>
      <c r="C645" s="250"/>
      <c r="D645" s="268" t="s">
        <v>1088</v>
      </c>
      <c r="E645" s="268"/>
      <c r="F645" s="268"/>
      <c r="G645" s="268"/>
      <c r="H645" s="271" t="s">
        <v>1155</v>
      </c>
    </row>
    <row r="646" spans="2:8" s="1" customFormat="1" ht="63.75">
      <c r="B646" s="251" t="s">
        <v>2697</v>
      </c>
      <c r="C646" s="251" t="s">
        <v>1089</v>
      </c>
      <c r="D646" s="3" t="s">
        <v>1090</v>
      </c>
      <c r="E646" s="4" t="s">
        <v>37</v>
      </c>
      <c r="F646" s="5" t="s">
        <v>614</v>
      </c>
      <c r="G646" s="105">
        <v>1245.21</v>
      </c>
      <c r="H646" s="8">
        <f t="shared" si="49"/>
        <v>26149.41</v>
      </c>
    </row>
    <row r="647" spans="2:8" s="212" customFormat="1" ht="15" customHeight="1">
      <c r="B647" s="250" t="s">
        <v>1091</v>
      </c>
      <c r="C647" s="250"/>
      <c r="D647" s="268" t="s">
        <v>1092</v>
      </c>
      <c r="E647" s="268"/>
      <c r="F647" s="268"/>
      <c r="G647" s="268"/>
      <c r="H647" s="271" t="s">
        <v>1155</v>
      </c>
    </row>
    <row r="648" spans="2:8" s="1" customFormat="1" ht="25.5">
      <c r="B648" s="251" t="s">
        <v>2698</v>
      </c>
      <c r="C648" s="251" t="s">
        <v>2236</v>
      </c>
      <c r="D648" s="3" t="s">
        <v>1093</v>
      </c>
      <c r="E648" s="4" t="s">
        <v>37</v>
      </c>
      <c r="F648" s="5" t="s">
        <v>905</v>
      </c>
      <c r="G648" s="105">
        <v>211.14</v>
      </c>
      <c r="H648" s="8">
        <f t="shared" si="49"/>
        <v>6123.0599999999995</v>
      </c>
    </row>
    <row r="649" spans="2:8" s="212" customFormat="1" ht="15" customHeight="1">
      <c r="B649" s="250" t="s">
        <v>1094</v>
      </c>
      <c r="C649" s="250"/>
      <c r="D649" s="268" t="s">
        <v>1095</v>
      </c>
      <c r="E649" s="268"/>
      <c r="F649" s="268"/>
      <c r="G649" s="268"/>
      <c r="H649" s="269"/>
    </row>
    <row r="650" spans="2:8" s="1" customFormat="1" ht="25.5">
      <c r="B650" s="251" t="s">
        <v>2699</v>
      </c>
      <c r="C650" s="251" t="s">
        <v>2163</v>
      </c>
      <c r="D650" s="214" t="s">
        <v>1096</v>
      </c>
      <c r="E650" s="4" t="s">
        <v>37</v>
      </c>
      <c r="F650" s="5" t="s">
        <v>38</v>
      </c>
      <c r="G650" s="105">
        <f>CPU!H1566</f>
        <v>17576.341499999999</v>
      </c>
      <c r="H650" s="8">
        <f t="shared" si="49"/>
        <v>17576.341499999999</v>
      </c>
    </row>
    <row r="651" spans="2:8" s="1" customFormat="1" ht="25.5" customHeight="1">
      <c r="B651" s="251" t="s">
        <v>2700</v>
      </c>
      <c r="C651" s="251" t="s">
        <v>2164</v>
      </c>
      <c r="D651" s="214" t="s">
        <v>1097</v>
      </c>
      <c r="E651" s="4" t="s">
        <v>37</v>
      </c>
      <c r="F651" s="5" t="s">
        <v>38</v>
      </c>
      <c r="G651" s="105">
        <f>CPU!H1582</f>
        <v>19805.960000000003</v>
      </c>
      <c r="H651" s="8">
        <f t="shared" si="49"/>
        <v>19805.960000000003</v>
      </c>
    </row>
    <row r="652" spans="2:8" s="1" customFormat="1" ht="25.5">
      <c r="B652" s="251" t="s">
        <v>2701</v>
      </c>
      <c r="C652" s="251" t="s">
        <v>2165</v>
      </c>
      <c r="D652" s="214" t="s">
        <v>1098</v>
      </c>
      <c r="E652" s="4" t="s">
        <v>37</v>
      </c>
      <c r="F652" s="5" t="s">
        <v>38</v>
      </c>
      <c r="G652" s="105">
        <f>CPU!H1598</f>
        <v>3253.9519999999998</v>
      </c>
      <c r="H652" s="8">
        <f t="shared" si="49"/>
        <v>3253.9519999999998</v>
      </c>
    </row>
    <row r="653" spans="2:8" s="1" customFormat="1" ht="18" customHeight="1">
      <c r="B653" s="251" t="s">
        <v>2702</v>
      </c>
      <c r="C653" s="251" t="s">
        <v>2842</v>
      </c>
      <c r="D653" s="214" t="s">
        <v>1099</v>
      </c>
      <c r="E653" s="4" t="s">
        <v>37</v>
      </c>
      <c r="F653" s="5" t="s">
        <v>358</v>
      </c>
      <c r="G653" s="284">
        <v>171.67</v>
      </c>
      <c r="H653" s="8">
        <f t="shared" si="49"/>
        <v>515.01</v>
      </c>
    </row>
    <row r="654" spans="2:8" s="1" customFormat="1" ht="18" customHeight="1">
      <c r="B654" s="251" t="s">
        <v>2703</v>
      </c>
      <c r="C654" s="251" t="s">
        <v>2843</v>
      </c>
      <c r="D654" s="214" t="s">
        <v>1100</v>
      </c>
      <c r="E654" s="4" t="s">
        <v>37</v>
      </c>
      <c r="F654" s="5" t="s">
        <v>38</v>
      </c>
      <c r="G654" s="284">
        <v>1392.04</v>
      </c>
      <c r="H654" s="8">
        <f t="shared" si="49"/>
        <v>1392.04</v>
      </c>
    </row>
    <row r="655" spans="2:8" s="1" customFormat="1" ht="25.5">
      <c r="B655" s="251" t="s">
        <v>2704</v>
      </c>
      <c r="C655" s="251" t="s">
        <v>2166</v>
      </c>
      <c r="D655" s="214" t="s">
        <v>1101</v>
      </c>
      <c r="E655" s="4" t="s">
        <v>37</v>
      </c>
      <c r="F655" s="5" t="s">
        <v>367</v>
      </c>
      <c r="G655" s="105">
        <f>CPU!H1604</f>
        <v>3383.901621</v>
      </c>
      <c r="H655" s="8">
        <f t="shared" si="49"/>
        <v>6767.803242</v>
      </c>
    </row>
    <row r="656" spans="2:8" s="1" customFormat="1" ht="25.5">
      <c r="B656" s="251" t="s">
        <v>2705</v>
      </c>
      <c r="C656" s="251" t="s">
        <v>2237</v>
      </c>
      <c r="D656" s="3" t="s">
        <v>1102</v>
      </c>
      <c r="E656" s="4" t="s">
        <v>37</v>
      </c>
      <c r="F656" s="5" t="s">
        <v>583</v>
      </c>
      <c r="G656" s="105">
        <v>127.3</v>
      </c>
      <c r="H656" s="8">
        <f t="shared" si="49"/>
        <v>763.8</v>
      </c>
    </row>
    <row r="657" spans="2:8" s="212" customFormat="1" ht="15" customHeight="1">
      <c r="B657" s="250" t="s">
        <v>1103</v>
      </c>
      <c r="C657" s="250"/>
      <c r="D657" s="268" t="s">
        <v>1104</v>
      </c>
      <c r="E657" s="268"/>
      <c r="F657" s="268"/>
      <c r="G657" s="268"/>
      <c r="H657" s="271" t="s">
        <v>1155</v>
      </c>
    </row>
    <row r="658" spans="2:8" s="1" customFormat="1" ht="25.5">
      <c r="B658" s="251" t="s">
        <v>2706</v>
      </c>
      <c r="C658" s="251" t="s">
        <v>1105</v>
      </c>
      <c r="D658" s="3" t="s">
        <v>1106</v>
      </c>
      <c r="E658" s="4" t="s">
        <v>37</v>
      </c>
      <c r="F658" s="5" t="s">
        <v>1107</v>
      </c>
      <c r="G658" s="105">
        <v>36.840000000000003</v>
      </c>
      <c r="H658" s="8">
        <f t="shared" ref="H658:H667" si="50">F658*G658</f>
        <v>20372.52</v>
      </c>
    </row>
    <row r="659" spans="2:8" s="212" customFormat="1" ht="20.100000000000001" customHeight="1">
      <c r="B659" s="253"/>
      <c r="C659" s="259"/>
      <c r="D659" s="260" t="s">
        <v>1195</v>
      </c>
      <c r="E659" s="261"/>
      <c r="F659" s="262"/>
      <c r="G659" s="262"/>
      <c r="H659" s="263">
        <f>SUM(H622:H658)</f>
        <v>508105.32374027948</v>
      </c>
    </row>
    <row r="660" spans="2:8" s="212" customFormat="1" ht="20.100000000000001" customHeight="1">
      <c r="B660" s="257" t="s">
        <v>1108</v>
      </c>
      <c r="C660" s="257"/>
      <c r="D660" s="286" t="s">
        <v>1109</v>
      </c>
      <c r="E660" s="286"/>
      <c r="F660" s="286"/>
      <c r="G660" s="286"/>
      <c r="H660" s="287" t="s">
        <v>1155</v>
      </c>
    </row>
    <row r="661" spans="2:8" s="212" customFormat="1" ht="15" customHeight="1">
      <c r="B661" s="244" t="s">
        <v>2707</v>
      </c>
      <c r="C661" s="244"/>
      <c r="D661" s="245" t="s">
        <v>1110</v>
      </c>
      <c r="E661" s="245"/>
      <c r="F661" s="245"/>
      <c r="G661" s="245"/>
      <c r="H661" s="279" t="s">
        <v>1155</v>
      </c>
    </row>
    <row r="662" spans="2:8" s="1" customFormat="1" ht="25.5">
      <c r="B662" s="251" t="s">
        <v>2708</v>
      </c>
      <c r="C662" s="251" t="s">
        <v>2167</v>
      </c>
      <c r="D662" s="214" t="s">
        <v>1111</v>
      </c>
      <c r="E662" s="4" t="s">
        <v>1112</v>
      </c>
      <c r="F662" s="5">
        <v>12</v>
      </c>
      <c r="G662" s="105">
        <f>CPU!H1608</f>
        <v>3116</v>
      </c>
      <c r="H662" s="8">
        <f t="shared" si="50"/>
        <v>37392</v>
      </c>
    </row>
    <row r="663" spans="2:8" s="1" customFormat="1" ht="25.5" customHeight="1">
      <c r="B663" s="251" t="s">
        <v>2709</v>
      </c>
      <c r="C663" s="251" t="s">
        <v>2210</v>
      </c>
      <c r="D663" s="214" t="s">
        <v>1113</v>
      </c>
      <c r="E663" s="4" t="s">
        <v>1112</v>
      </c>
      <c r="F663" s="5">
        <v>12</v>
      </c>
      <c r="G663" s="105">
        <f>CPU!H1612</f>
        <v>2262</v>
      </c>
      <c r="H663" s="8">
        <f t="shared" si="50"/>
        <v>27144</v>
      </c>
    </row>
    <row r="664" spans="2:8" s="212" customFormat="1" ht="15" customHeight="1">
      <c r="B664" s="244" t="s">
        <v>1114</v>
      </c>
      <c r="C664" s="244"/>
      <c r="D664" s="245" t="s">
        <v>1115</v>
      </c>
      <c r="E664" s="245"/>
      <c r="F664" s="245"/>
      <c r="G664" s="245"/>
      <c r="H664" s="279" t="s">
        <v>1155</v>
      </c>
    </row>
    <row r="665" spans="2:8" s="1" customFormat="1" ht="18" customHeight="1">
      <c r="B665" s="251" t="s">
        <v>2710</v>
      </c>
      <c r="C665" s="251" t="s">
        <v>2211</v>
      </c>
      <c r="D665" s="3" t="s">
        <v>1116</v>
      </c>
      <c r="E665" s="4" t="s">
        <v>24</v>
      </c>
      <c r="F665" s="5">
        <v>7433.53</v>
      </c>
      <c r="G665" s="105">
        <v>2.04</v>
      </c>
      <c r="H665" s="8">
        <f t="shared" si="50"/>
        <v>15164.4012</v>
      </c>
    </row>
    <row r="666" spans="2:8" s="212" customFormat="1" ht="15" customHeight="1">
      <c r="B666" s="244" t="s">
        <v>1117</v>
      </c>
      <c r="C666" s="244"/>
      <c r="D666" s="245" t="s">
        <v>1118</v>
      </c>
      <c r="E666" s="245"/>
      <c r="F666" s="245"/>
      <c r="G666" s="245"/>
      <c r="H666" s="279" t="s">
        <v>1155</v>
      </c>
    </row>
    <row r="667" spans="2:8" s="1" customFormat="1" ht="25.5">
      <c r="B667" s="251" t="s">
        <v>2711</v>
      </c>
      <c r="C667" s="278" t="s">
        <v>2171</v>
      </c>
      <c r="D667" s="214" t="s">
        <v>55</v>
      </c>
      <c r="E667" s="4" t="s">
        <v>37</v>
      </c>
      <c r="F667" s="5" t="s">
        <v>38</v>
      </c>
      <c r="G667" s="105">
        <f>CPU!H1621</f>
        <v>358.24348901127996</v>
      </c>
      <c r="H667" s="8">
        <f t="shared" si="50"/>
        <v>358.24348901127996</v>
      </c>
    </row>
    <row r="668" spans="2:8" s="212" customFormat="1" ht="20.100000000000001" customHeight="1">
      <c r="B668" s="253"/>
      <c r="C668" s="259"/>
      <c r="D668" s="260" t="s">
        <v>1196</v>
      </c>
      <c r="E668" s="261"/>
      <c r="F668" s="262"/>
      <c r="G668" s="262"/>
      <c r="H668" s="263">
        <f>SUM(H662:H667)</f>
        <v>80058.644689011271</v>
      </c>
    </row>
    <row r="669" spans="2:8" s="212" customFormat="1" ht="20.100000000000001" customHeight="1">
      <c r="B669" s="257" t="s">
        <v>1123</v>
      </c>
      <c r="C669" s="257"/>
      <c r="D669" s="286" t="s">
        <v>1124</v>
      </c>
      <c r="E669" s="286"/>
      <c r="F669" s="286"/>
      <c r="G669" s="286"/>
      <c r="H669" s="287" t="s">
        <v>1155</v>
      </c>
    </row>
    <row r="670" spans="2:8" s="212" customFormat="1" ht="15" customHeight="1">
      <c r="B670" s="244" t="s">
        <v>1150</v>
      </c>
      <c r="C670" s="244"/>
      <c r="D670" s="245" t="s">
        <v>1151</v>
      </c>
      <c r="E670" s="245"/>
      <c r="F670" s="245"/>
      <c r="G670" s="245"/>
      <c r="H670" s="279" t="s">
        <v>1155</v>
      </c>
    </row>
    <row r="671" spans="2:8" s="1" customFormat="1" ht="25.5">
      <c r="B671" s="251" t="s">
        <v>2725</v>
      </c>
      <c r="C671" s="251" t="s">
        <v>2212</v>
      </c>
      <c r="D671" s="3" t="s">
        <v>1152</v>
      </c>
      <c r="E671" s="4" t="s">
        <v>1153</v>
      </c>
      <c r="F671" s="5" t="s">
        <v>1154</v>
      </c>
      <c r="G671" s="105">
        <f>CPU!H1625</f>
        <v>0.76850999999999992</v>
      </c>
      <c r="H671" s="8">
        <f t="shared" ref="H671" si="51">F671*G671</f>
        <v>11619.8712</v>
      </c>
    </row>
    <row r="672" spans="2:8" s="212" customFormat="1" ht="20.100000000000001" customHeight="1">
      <c r="B672" s="399"/>
      <c r="C672" s="390"/>
      <c r="D672" s="391" t="s">
        <v>2808</v>
      </c>
      <c r="E672" s="390"/>
      <c r="F672" s="392"/>
      <c r="G672" s="392"/>
      <c r="H672" s="393">
        <f>H671</f>
        <v>11619.8712</v>
      </c>
    </row>
    <row r="673" spans="2:8" s="1" customFormat="1" ht="20.100000000000001" customHeight="1">
      <c r="B673" s="400"/>
      <c r="C673" s="394" t="s">
        <v>1155</v>
      </c>
      <c r="D673" s="489" t="s">
        <v>1158</v>
      </c>
      <c r="E673" s="489"/>
      <c r="F673" s="489"/>
      <c r="G673" s="489"/>
      <c r="H673" s="395">
        <f>H43+H162+H336+H458+H606+H618+H659+H668+H672</f>
        <v>19956310.859328408</v>
      </c>
    </row>
    <row r="674" spans="2:8" s="1" customFormat="1" ht="20.100000000000001" customHeight="1">
      <c r="B674" s="400"/>
      <c r="C674" s="394"/>
      <c r="D674" s="490" t="s">
        <v>2750</v>
      </c>
      <c r="E674" s="490"/>
      <c r="F674" s="490"/>
      <c r="G674" s="490"/>
      <c r="H674" s="396">
        <f>H673*0.2026</f>
        <v>4043148.5800999356</v>
      </c>
    </row>
    <row r="675" spans="2:8" s="1" customFormat="1" ht="20.100000000000001" customHeight="1">
      <c r="B675" s="401"/>
      <c r="C675" s="397"/>
      <c r="D675" s="491" t="s">
        <v>1160</v>
      </c>
      <c r="E675" s="491"/>
      <c r="F675" s="491"/>
      <c r="G675" s="491"/>
      <c r="H675" s="398">
        <f>SUM(H673:H674)</f>
        <v>23999459.439428344</v>
      </c>
    </row>
  </sheetData>
  <mergeCells count="22">
    <mergeCell ref="D673:G673"/>
    <mergeCell ref="D674:G674"/>
    <mergeCell ref="D675:G675"/>
    <mergeCell ref="B13:H13"/>
    <mergeCell ref="B14:H14"/>
    <mergeCell ref="I14:J14"/>
    <mergeCell ref="B15:H15"/>
    <mergeCell ref="B16:H16"/>
    <mergeCell ref="B17:H17"/>
    <mergeCell ref="B8:H8"/>
    <mergeCell ref="B9:H9"/>
    <mergeCell ref="B10:D10"/>
    <mergeCell ref="I10:J10"/>
    <mergeCell ref="B11:H11"/>
    <mergeCell ref="B12:D12"/>
    <mergeCell ref="G12:H12"/>
    <mergeCell ref="F7:G7"/>
    <mergeCell ref="D4:E4"/>
    <mergeCell ref="F4:G4"/>
    <mergeCell ref="D5:E5"/>
    <mergeCell ref="D6:E6"/>
    <mergeCell ref="F6:G6"/>
  </mergeCells>
  <pageMargins left="0.511811024" right="0.511811024" top="0.78740157499999996" bottom="0.78740157499999996" header="0.31496062000000002" footer="0.31496062000000002"/>
  <pageSetup scale="5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15"/>
  <sheetViews>
    <sheetView workbookViewId="0">
      <selection activeCell="H55" sqref="H55"/>
    </sheetView>
  </sheetViews>
  <sheetFormatPr defaultRowHeight="15"/>
  <cols>
    <col min="1" max="1" width="2.7109375" customWidth="1"/>
    <col min="2" max="2" width="17.7109375" customWidth="1"/>
    <col min="3" max="3" width="67.28515625" customWidth="1"/>
    <col min="4" max="4" width="18.42578125" customWidth="1"/>
    <col min="6" max="6" width="1.5703125" style="317" customWidth="1"/>
    <col min="7" max="32" width="9.140625" style="317"/>
  </cols>
  <sheetData>
    <row r="1" spans="1:32" s="317" customFormat="1" ht="10.5" customHeight="1">
      <c r="A1" s="476"/>
      <c r="B1" s="516"/>
      <c r="C1" s="516"/>
      <c r="D1" s="516"/>
      <c r="E1" s="516"/>
    </row>
    <row r="2" spans="1:32" s="224" customFormat="1" ht="17.25" customHeight="1">
      <c r="A2" s="476"/>
      <c r="B2" s="532" t="s">
        <v>2241</v>
      </c>
      <c r="C2" s="533"/>
      <c r="D2" s="534"/>
      <c r="E2" s="535"/>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row>
    <row r="3" spans="1:32" s="224" customFormat="1" ht="12.95" customHeight="1">
      <c r="A3" s="476"/>
      <c r="B3" s="324"/>
      <c r="C3" s="325"/>
      <c r="D3" s="326"/>
      <c r="E3" s="32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row>
    <row r="4" spans="1:32" s="224" customFormat="1" ht="17.25" customHeight="1">
      <c r="A4" s="476"/>
      <c r="B4" s="536" t="s">
        <v>2777</v>
      </c>
      <c r="C4" s="497"/>
      <c r="D4" s="326"/>
      <c r="E4" s="32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row>
    <row r="5" spans="1:32" s="224" customFormat="1" ht="17.25" customHeight="1">
      <c r="A5" s="476"/>
      <c r="B5" s="324"/>
      <c r="C5" s="325"/>
      <c r="D5" s="326"/>
      <c r="E5" s="32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row>
    <row r="6" spans="1:32" s="224" customFormat="1" ht="17.25" customHeight="1">
      <c r="A6" s="476"/>
      <c r="B6" s="324"/>
      <c r="C6" s="325"/>
      <c r="D6" s="326"/>
      <c r="E6" s="32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row>
    <row r="7" spans="1:32" s="224" customFormat="1" ht="15" customHeight="1">
      <c r="A7" s="476"/>
      <c r="B7" s="540" t="s">
        <v>2778</v>
      </c>
      <c r="C7" s="541"/>
      <c r="D7" s="530"/>
      <c r="E7" s="531"/>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row>
    <row r="8" spans="1:32" s="224" customFormat="1" ht="15" customHeight="1">
      <c r="A8" s="476"/>
      <c r="B8" s="324"/>
      <c r="C8" s="325"/>
      <c r="D8" s="328"/>
      <c r="E8" s="329"/>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row>
    <row r="9" spans="1:32" s="224" customFormat="1" ht="15" customHeight="1">
      <c r="A9" s="476"/>
      <c r="B9" s="540" t="s">
        <v>2779</v>
      </c>
      <c r="C9" s="541"/>
      <c r="D9" s="511" t="s">
        <v>2851</v>
      </c>
      <c r="E9" s="512"/>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row>
    <row r="10" spans="1:32" s="224" customFormat="1" ht="15" customHeight="1">
      <c r="A10" s="476"/>
      <c r="B10" s="324"/>
      <c r="C10" s="325"/>
      <c r="D10" s="328"/>
      <c r="E10" s="329"/>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row>
    <row r="11" spans="1:32" s="224" customFormat="1" ht="15" customHeight="1">
      <c r="A11" s="476"/>
      <c r="B11" s="324"/>
      <c r="C11" s="325"/>
      <c r="D11" s="328"/>
      <c r="E11" s="329"/>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row>
    <row r="12" spans="1:32" s="224" customFormat="1" ht="15" customHeight="1">
      <c r="A12" s="476"/>
      <c r="B12" s="324"/>
      <c r="C12" s="325"/>
      <c r="D12" s="511" t="s">
        <v>2780</v>
      </c>
      <c r="E12" s="512"/>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row>
    <row r="13" spans="1:32" s="224" customFormat="1" ht="15" customHeight="1">
      <c r="A13" s="476"/>
      <c r="B13" s="324"/>
      <c r="C13" s="325"/>
      <c r="D13" s="328"/>
      <c r="E13" s="329"/>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row>
    <row r="14" spans="1:32" s="224" customFormat="1" ht="15" customHeight="1">
      <c r="A14" s="476"/>
      <c r="B14" s="513" t="s">
        <v>2831</v>
      </c>
      <c r="C14" s="514"/>
      <c r="D14" s="514"/>
      <c r="E14" s="515"/>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row>
    <row r="15" spans="1:32" s="224" customFormat="1" ht="15" customHeight="1">
      <c r="A15" s="476"/>
      <c r="B15" s="513" t="s">
        <v>2832</v>
      </c>
      <c r="C15" s="514"/>
      <c r="D15" s="514"/>
      <c r="E15" s="515"/>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row>
    <row r="16" spans="1:32" s="224" customFormat="1" ht="15" customHeight="1">
      <c r="A16" s="476"/>
      <c r="B16" s="537" t="s">
        <v>2846</v>
      </c>
      <c r="C16" s="538"/>
      <c r="D16" s="538"/>
      <c r="E16" s="539"/>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row>
    <row r="17" spans="1:5">
      <c r="A17" s="476"/>
      <c r="B17" s="17" t="s">
        <v>1204</v>
      </c>
      <c r="C17" s="18" t="s">
        <v>1205</v>
      </c>
      <c r="D17" s="19" t="s">
        <v>6</v>
      </c>
      <c r="E17" s="20" t="s">
        <v>1159</v>
      </c>
    </row>
    <row r="18" spans="1:5">
      <c r="A18" s="476"/>
      <c r="B18" s="21" t="s">
        <v>7</v>
      </c>
      <c r="C18" s="111" t="s">
        <v>8</v>
      </c>
      <c r="D18" s="21">
        <f>ORCA!H22</f>
        <v>4749.6000000000004</v>
      </c>
      <c r="E18" s="22">
        <f>D18/D60</f>
        <v>2.2337754881183243E-4</v>
      </c>
    </row>
    <row r="19" spans="1:5">
      <c r="A19" s="476"/>
      <c r="B19" s="23" t="str">
        <f>[1]Orçamento!B11</f>
        <v>02.00.000</v>
      </c>
      <c r="C19" s="46" t="str">
        <f>[1]Orçamento!D11</f>
        <v>SERVIÇOS PRELIMINARES</v>
      </c>
      <c r="D19" s="23">
        <f>ORCA!H52</f>
        <v>649543.07799589995</v>
      </c>
      <c r="E19" s="22">
        <f>D19/D60</f>
        <v>3.0548538952841715E-2</v>
      </c>
    </row>
    <row r="20" spans="1:5">
      <c r="A20" s="476"/>
      <c r="B20" s="23" t="str">
        <f>[1]Orçamento!B62</f>
        <v>03.00.000</v>
      </c>
      <c r="C20" s="46" t="str">
        <f>[1]Orçamento!D62</f>
        <v xml:space="preserve">FUNDAÇÕES E ESTRUTURAS </v>
      </c>
      <c r="D20" s="23" t="s">
        <v>1206</v>
      </c>
      <c r="E20" s="22" t="s">
        <v>1206</v>
      </c>
    </row>
    <row r="21" spans="1:5">
      <c r="A21" s="476"/>
      <c r="B21" s="24" t="s">
        <v>91</v>
      </c>
      <c r="C21" s="25" t="s">
        <v>92</v>
      </c>
      <c r="D21" s="23">
        <f>ORCA!H74</f>
        <v>905540.92576290399</v>
      </c>
      <c r="E21" s="22">
        <f>D21/D60</f>
        <v>4.2588325826535919E-2</v>
      </c>
    </row>
    <row r="22" spans="1:5">
      <c r="A22" s="476"/>
      <c r="B22" s="24" t="s">
        <v>136</v>
      </c>
      <c r="C22" s="25" t="s">
        <v>1207</v>
      </c>
      <c r="D22" s="23">
        <f>ORCA!H92</f>
        <v>963713.96969499998</v>
      </c>
      <c r="E22" s="22">
        <f>D22/D60</f>
        <v>4.5324251369839488E-2</v>
      </c>
    </row>
    <row r="23" spans="1:5">
      <c r="A23" s="476"/>
      <c r="B23" s="24" t="s">
        <v>1208</v>
      </c>
      <c r="C23" s="25" t="s">
        <v>1209</v>
      </c>
      <c r="D23" s="23">
        <f>ORCA!H168</f>
        <v>2714532.3235894991</v>
      </c>
      <c r="E23" s="22">
        <f>D23/D60</f>
        <v>0.1276666617428647</v>
      </c>
    </row>
    <row r="24" spans="1:5">
      <c r="A24" s="476"/>
      <c r="B24" s="24" t="str">
        <f>[2]ORCA!A173</f>
        <v>03.03.000</v>
      </c>
      <c r="C24" s="25" t="str">
        <f>[2]ORCA!B173</f>
        <v>Estruturas Metálicas</v>
      </c>
      <c r="D24" s="23">
        <f>ORCA!H173</f>
        <v>4635072.6881299987</v>
      </c>
      <c r="E24" s="22">
        <f>D24/D60</f>
        <v>0.21799123623866223</v>
      </c>
    </row>
    <row r="25" spans="1:5">
      <c r="A25" s="476"/>
      <c r="B25" s="23" t="str">
        <f>[1]Orçamento!B124</f>
        <v>04.00.000</v>
      </c>
      <c r="C25" s="46" t="str">
        <f>[1]Orçamento!D124</f>
        <v>ARQUITETURA E ELEMENTOS DE URBANISMO</v>
      </c>
      <c r="D25" s="23" t="s">
        <v>1155</v>
      </c>
      <c r="E25" s="22" t="s">
        <v>1155</v>
      </c>
    </row>
    <row r="26" spans="1:5">
      <c r="A26" s="476"/>
      <c r="B26" s="24" t="str">
        <f>[2]ORCA!A181</f>
        <v>04.01.100</v>
      </c>
      <c r="C26" s="25" t="str">
        <f>[2]ORCA!B181</f>
        <v>Paredes</v>
      </c>
      <c r="D26" s="23">
        <f>ORCA!H190</f>
        <v>810172.39728381997</v>
      </c>
      <c r="E26" s="22">
        <f>D26/D60</f>
        <v>3.8103066409858888E-2</v>
      </c>
    </row>
    <row r="27" spans="1:5">
      <c r="A27" s="476"/>
      <c r="B27" s="24" t="str">
        <f>[2]ORCA!A197</f>
        <v>04.01.200</v>
      </c>
      <c r="C27" s="25" t="str">
        <f>[2]ORCA!B197</f>
        <v>Esquadrias</v>
      </c>
      <c r="D27" s="23">
        <f>ORCA!H229</f>
        <v>1502811.7605861968</v>
      </c>
      <c r="E27" s="22">
        <f>D27/D60</f>
        <v>7.0678458692382304E-2</v>
      </c>
    </row>
    <row r="28" spans="1:5">
      <c r="A28" s="476"/>
      <c r="B28" s="24" t="str">
        <f>[2]ORCA!A237</f>
        <v>04.01.240</v>
      </c>
      <c r="C28" s="25" t="str">
        <f>[2]ORCA!B237</f>
        <v>Portas e Janelas de vidro</v>
      </c>
      <c r="D28" s="23">
        <f>ORCA!H235</f>
        <v>210226.66502324317</v>
      </c>
      <c r="E28" s="22">
        <f>D28/D60</f>
        <v>9.8871309431906359E-3</v>
      </c>
    </row>
    <row r="29" spans="1:5">
      <c r="A29" s="476"/>
      <c r="B29" s="24" t="str">
        <f>[2]ORCA!A245</f>
        <v>04.01.300</v>
      </c>
      <c r="C29" s="25" t="s">
        <v>404</v>
      </c>
      <c r="D29" s="23">
        <f>ORCA!H243</f>
        <v>341014.31859294121</v>
      </c>
      <c r="E29" s="22">
        <f>D29/D60</f>
        <v>1.6038180604056866E-2</v>
      </c>
    </row>
    <row r="30" spans="1:5">
      <c r="A30" s="476"/>
      <c r="B30" s="24" t="s">
        <v>416</v>
      </c>
      <c r="C30" s="25" t="s">
        <v>417</v>
      </c>
      <c r="D30" s="23">
        <f>ORCA!H249</f>
        <v>181617.0325</v>
      </c>
      <c r="E30" s="22">
        <f>D30/D60</f>
        <v>8.5415966696835328E-3</v>
      </c>
    </row>
    <row r="31" spans="1:5">
      <c r="A31" s="476"/>
      <c r="B31" s="24" t="str">
        <f>[2]ORCA!A264</f>
        <v>04.01.510</v>
      </c>
      <c r="C31" s="25" t="s">
        <v>424</v>
      </c>
      <c r="D31" s="23">
        <f>ORCA!H255</f>
        <v>1195177.6540900001</v>
      </c>
      <c r="E31" s="22">
        <f>D31/D60</f>
        <v>5.6210176597039828E-2</v>
      </c>
    </row>
    <row r="32" spans="1:5">
      <c r="A32" s="476"/>
      <c r="B32" s="24" t="s">
        <v>428</v>
      </c>
      <c r="C32" s="25" t="s">
        <v>429</v>
      </c>
      <c r="D32" s="23">
        <f>ORCA!H263</f>
        <v>479027.68652208836</v>
      </c>
      <c r="E32" s="22">
        <f>D32/D60</f>
        <v>2.2529061484821238E-2</v>
      </c>
    </row>
    <row r="33" spans="1:5">
      <c r="A33" s="476"/>
      <c r="B33" s="24" t="s">
        <v>441</v>
      </c>
      <c r="C33" s="25" t="s">
        <v>1210</v>
      </c>
      <c r="D33" s="23">
        <f>ORCA!H267</f>
        <v>186550.7426</v>
      </c>
      <c r="E33" s="22">
        <f>D33/D60</f>
        <v>8.7736330661561147E-3</v>
      </c>
    </row>
    <row r="34" spans="1:5">
      <c r="A34" s="476"/>
      <c r="B34" s="24" t="s">
        <v>449</v>
      </c>
      <c r="C34" s="25" t="s">
        <v>1211</v>
      </c>
      <c r="D34" s="23">
        <f>ORCA!H278</f>
        <v>459713.87006775197</v>
      </c>
      <c r="E34" s="22">
        <f>D34/D60</f>
        <v>2.1620716997333596E-2</v>
      </c>
    </row>
    <row r="35" spans="1:5">
      <c r="A35" s="476"/>
      <c r="B35" s="24" t="s">
        <v>467</v>
      </c>
      <c r="C35" s="25" t="s">
        <v>1212</v>
      </c>
      <c r="D35" s="23">
        <f>ORCA!H281</f>
        <v>30876.926125363447</v>
      </c>
      <c r="E35" s="22">
        <f>D35/D60</f>
        <v>1.4521669346319094E-3</v>
      </c>
    </row>
    <row r="36" spans="1:5">
      <c r="A36" s="476"/>
      <c r="B36" s="24" t="s">
        <v>470</v>
      </c>
      <c r="C36" s="25" t="s">
        <v>471</v>
      </c>
      <c r="D36" s="23">
        <f>ORCA!H295</f>
        <v>1799679.8621658853</v>
      </c>
      <c r="E36" s="22">
        <f>D36/D60</f>
        <v>8.4640406825128828E-2</v>
      </c>
    </row>
    <row r="37" spans="1:5">
      <c r="A37" s="476"/>
      <c r="B37" s="24" t="s">
        <v>496</v>
      </c>
      <c r="C37" s="25" t="s">
        <v>1213</v>
      </c>
      <c r="D37" s="23">
        <f>ORCA!H304</f>
        <v>132876.02893617869</v>
      </c>
      <c r="E37" s="22">
        <f>D37/D60</f>
        <v>6.2492676519314708E-3</v>
      </c>
    </row>
    <row r="38" spans="1:5">
      <c r="A38" s="476"/>
      <c r="B38" s="24" t="s">
        <v>511</v>
      </c>
      <c r="C38" s="25" t="s">
        <v>1214</v>
      </c>
      <c r="D38" s="23">
        <f>ORCA!H313</f>
        <v>77509.336880302304</v>
      </c>
      <c r="E38" s="22">
        <f>D38/D60</f>
        <v>3.6453271185684036E-3</v>
      </c>
    </row>
    <row r="39" spans="1:5">
      <c r="A39" s="476"/>
      <c r="B39" s="24" t="s">
        <v>514</v>
      </c>
      <c r="C39" s="25" t="s">
        <v>1215</v>
      </c>
      <c r="D39" s="23">
        <f>ORCA!H318</f>
        <v>6424.3860999999997</v>
      </c>
      <c r="E39" s="22">
        <f>D39/D60</f>
        <v>3.0214410047978938E-4</v>
      </c>
    </row>
    <row r="40" spans="1:5">
      <c r="A40" s="476"/>
      <c r="B40" s="24" t="s">
        <v>524</v>
      </c>
      <c r="C40" s="25" t="s">
        <v>525</v>
      </c>
      <c r="D40" s="23">
        <f>ORCA!H324</f>
        <v>144540.32629999999</v>
      </c>
      <c r="E40" s="22">
        <f>D40/D60</f>
        <v>6.7978490385203873E-3</v>
      </c>
    </row>
    <row r="41" spans="1:5">
      <c r="A41" s="476"/>
      <c r="B41" s="24" t="s">
        <v>531</v>
      </c>
      <c r="C41" s="25" t="s">
        <v>532</v>
      </c>
      <c r="D41" s="23">
        <f>ORCA!H342</f>
        <v>366765.09969435603</v>
      </c>
      <c r="E41" s="22">
        <f>D41/D60</f>
        <v>1.7249260771318133E-2</v>
      </c>
    </row>
    <row r="42" spans="1:5">
      <c r="A42" s="476"/>
      <c r="B42" s="24" t="s">
        <v>560</v>
      </c>
      <c r="C42" s="25" t="s">
        <v>561</v>
      </c>
      <c r="D42" s="23">
        <f>ORCA!H347</f>
        <v>4802.2302</v>
      </c>
      <c r="E42" s="22">
        <f>D42/D60</f>
        <v>2.2585278989939274E-4</v>
      </c>
    </row>
    <row r="43" spans="1:5">
      <c r="A43" s="476"/>
      <c r="B43" s="23" t="str">
        <f>[1]Orçamento!B350</f>
        <v>05.00.000</v>
      </c>
      <c r="C43" s="46" t="str">
        <f>[1]Orçamento!D350</f>
        <v xml:space="preserve">INSTALAÇÕES HIDRÁULICAS E SANITÁRIAS </v>
      </c>
      <c r="D43" s="23" t="s">
        <v>1155</v>
      </c>
      <c r="E43" s="22" t="s">
        <v>1155</v>
      </c>
    </row>
    <row r="44" spans="1:5">
      <c r="A44" s="476"/>
      <c r="B44" s="24" t="str">
        <f>[2]ORCA!A387</f>
        <v>05.01.000</v>
      </c>
      <c r="C44" s="25" t="str">
        <f>[2]ORCA!B387</f>
        <v>Água Fria</v>
      </c>
      <c r="D44" s="23">
        <f>ORCA!H389</f>
        <v>28805.423261050557</v>
      </c>
      <c r="E44" s="22">
        <f>D44/D60</f>
        <v>1.3547424710587867E-3</v>
      </c>
    </row>
    <row r="45" spans="1:5">
      <c r="A45" s="476"/>
      <c r="B45" s="24" t="str">
        <f>[2]ORCA!A429</f>
        <v>05.01.500</v>
      </c>
      <c r="C45" s="25" t="s">
        <v>1216</v>
      </c>
      <c r="D45" s="23">
        <f>ORCA!H411</f>
        <v>116780.2396736197</v>
      </c>
      <c r="E45" s="22">
        <f>D45/D60</f>
        <v>5.4922695991139201E-3</v>
      </c>
    </row>
    <row r="46" spans="1:5">
      <c r="A46" s="476"/>
      <c r="B46" s="24" t="str">
        <f>[2]ORCA!A453</f>
        <v>05.03.000</v>
      </c>
      <c r="C46" s="25" t="str">
        <f>[2]ORCA!B453</f>
        <v>Drenagem de Águas Pluviais</v>
      </c>
      <c r="D46" s="23">
        <f>ORCA!H434</f>
        <v>472704.87586715131</v>
      </c>
      <c r="E46" s="22">
        <f>D46/D60</f>
        <v>2.2231694560090488E-2</v>
      </c>
    </row>
    <row r="47" spans="1:5">
      <c r="A47" s="476"/>
      <c r="B47" s="24" t="str">
        <f>[2]ORCA!A471</f>
        <v>05.04.000</v>
      </c>
      <c r="C47" s="25" t="str">
        <f>[2]ORCA!B471</f>
        <v>Esgotos Sanitários</v>
      </c>
      <c r="D47" s="23">
        <f>ORCA!H469</f>
        <v>130892.84715244456</v>
      </c>
      <c r="E47" s="22">
        <f>D47/D60</f>
        <v>6.1559970005716069E-3</v>
      </c>
    </row>
    <row r="48" spans="1:5">
      <c r="A48" s="476"/>
      <c r="B48" s="23" t="str">
        <f>[1]Orçamento!B532</f>
        <v>06.00.000</v>
      </c>
      <c r="C48" s="46" t="str">
        <f>[1]Orçamento!D532</f>
        <v>INSTALAÇÕES ELÉTRICAS E ELETRÔNICAS</v>
      </c>
      <c r="D48" s="23" t="s">
        <v>1155</v>
      </c>
      <c r="E48" s="22" t="s">
        <v>1155</v>
      </c>
    </row>
    <row r="49" spans="1:32">
      <c r="A49" s="476"/>
      <c r="B49" s="24" t="str">
        <f>[2]ORCA!A509</f>
        <v>06.01.000</v>
      </c>
      <c r="C49" s="25" t="str">
        <f>[2]ORCA!B509</f>
        <v>Instalações Elétricas</v>
      </c>
      <c r="D49" s="23">
        <f>ORCA!H530</f>
        <v>629529.99037401041</v>
      </c>
      <c r="E49" s="22">
        <f>D49/D60</f>
        <v>2.9607307173926838E-2</v>
      </c>
    </row>
    <row r="50" spans="1:32">
      <c r="A50" s="476"/>
      <c r="B50" s="24" t="str">
        <f>[2]ORCA!A569</f>
        <v>06.01.400</v>
      </c>
      <c r="C50" s="25" t="s">
        <v>902</v>
      </c>
      <c r="D50" s="23">
        <f>ORCA!H549</f>
        <v>244440.49000000002</v>
      </c>
      <c r="E50" s="22">
        <f>D50/D60</f>
        <v>1.1496234943271694E-2</v>
      </c>
    </row>
    <row r="51" spans="1:32">
      <c r="A51" s="476"/>
      <c r="B51" s="24" t="s">
        <v>938</v>
      </c>
      <c r="C51" s="25" t="s">
        <v>939</v>
      </c>
      <c r="D51" s="23">
        <f>ORCA!H554</f>
        <v>44985.03443</v>
      </c>
      <c r="E51" s="22">
        <f>D51/D60</f>
        <v>2.1156827362702729E-3</v>
      </c>
    </row>
    <row r="52" spans="1:32">
      <c r="A52" s="476"/>
      <c r="B52" s="24" t="str">
        <f>[2]ORCA!A605</f>
        <v>06.02.000</v>
      </c>
      <c r="C52" s="25" t="str">
        <f>[2]ORCA!B605</f>
        <v>Telefonia Antena de TV</v>
      </c>
      <c r="D52" s="23">
        <f>ORCA!H586</f>
        <v>47078.443073256938</v>
      </c>
      <c r="E52" s="22">
        <f>D52/D60</f>
        <v>2.2141374464337052E-3</v>
      </c>
    </row>
    <row r="53" spans="1:32">
      <c r="A53" s="476"/>
      <c r="B53" s="24" t="str">
        <f>[2]ORCA!A639</f>
        <v>06.03.000</v>
      </c>
      <c r="C53" s="25" t="str">
        <f>[2]ORCA!B639</f>
        <v>Detecção e Alarme de Incêndio</v>
      </c>
      <c r="D53" s="23">
        <f>ORCA!H617</f>
        <v>132610.38346615419</v>
      </c>
      <c r="E53" s="22">
        <f>D53/D60</f>
        <v>6.2367741295407345E-3</v>
      </c>
    </row>
    <row r="54" spans="1:32">
      <c r="A54" s="476"/>
      <c r="B54" s="23" t="s">
        <v>1033</v>
      </c>
      <c r="C54" s="46" t="s">
        <v>1034</v>
      </c>
      <c r="D54" s="23" t="s">
        <v>1155</v>
      </c>
      <c r="E54" s="22" t="s">
        <v>1155</v>
      </c>
    </row>
    <row r="55" spans="1:32" s="86" customFormat="1">
      <c r="A55" s="476"/>
      <c r="B55" s="108">
        <f>ORCA!C620</f>
        <v>0</v>
      </c>
      <c r="C55" s="109" t="str">
        <f>ORCA!D620</f>
        <v>Ar Condicionado</v>
      </c>
      <c r="D55" s="23">
        <f>ORCA!H624</f>
        <v>52760.75</v>
      </c>
      <c r="E55" s="22">
        <f>D55/D60</f>
        <v>2.481380960180623E-3</v>
      </c>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row>
    <row r="56" spans="1:32">
      <c r="A56" s="476"/>
      <c r="B56" s="24" t="str">
        <f>[2]ORCA!A682</f>
        <v>07.07.000</v>
      </c>
      <c r="C56" s="25" t="str">
        <f>[2]ORCA!B682</f>
        <v>Gás Combustível</v>
      </c>
      <c r="D56" s="23">
        <f>ORCA!H629</f>
        <v>30736.656439999999</v>
      </c>
      <c r="E56" s="22">
        <f>D56/D60</f>
        <v>1.4455699373081151E-3</v>
      </c>
    </row>
    <row r="57" spans="1:32">
      <c r="A57" s="476"/>
      <c r="B57" s="23" t="str">
        <f>[2]ORCA!A688</f>
        <v>08.00.000</v>
      </c>
      <c r="C57" s="46" t="str">
        <f>[2]ORCA!B688</f>
        <v>INSTALAÇÕES DE PREVENÇÃO E COMBATE A INCÊNDIO</v>
      </c>
      <c r="D57" s="23">
        <f>ORCA!H671</f>
        <v>508105.32374027948</v>
      </c>
      <c r="E57" s="22">
        <f>D57/D60</f>
        <v>2.3896606399559161E-2</v>
      </c>
    </row>
    <row r="58" spans="1:32">
      <c r="A58" s="476"/>
      <c r="B58" s="23" t="str">
        <f>[2]ORCA!A731</f>
        <v>09.00.000</v>
      </c>
      <c r="C58" s="46" t="str">
        <f>[2]ORCA!B731</f>
        <v>SERVIÇOS COMPLEMENTARES</v>
      </c>
      <c r="D58" s="23">
        <f>ORCA!H682</f>
        <v>84969.878689011268</v>
      </c>
      <c r="E58" s="22">
        <f>D58/D60</f>
        <v>3.996202464289644E-3</v>
      </c>
    </row>
    <row r="59" spans="1:32">
      <c r="A59" s="476"/>
      <c r="B59" s="26" t="str">
        <f>[2]ORCA!A744</f>
        <v>10.00.000</v>
      </c>
      <c r="C59" s="82" t="str">
        <f>[2]ORCA!B744</f>
        <v>SERVIÇOS AUXILIARES E ADMINISTRATIVOS</v>
      </c>
      <c r="D59" s="23">
        <f>ORCA!H698</f>
        <v>935316.85120000003</v>
      </c>
      <c r="E59" s="27">
        <f>D59/D60</f>
        <v>4.3988711803827144E-2</v>
      </c>
    </row>
    <row r="60" spans="1:32" ht="20.100000000000001" customHeight="1">
      <c r="A60" s="476"/>
      <c r="B60" s="28"/>
      <c r="C60" s="83" t="s">
        <v>1217</v>
      </c>
      <c r="D60" s="29">
        <f>SUM(D18:D59)</f>
        <v>21262656.096208408</v>
      </c>
      <c r="E60" s="30">
        <f>SUM(E18:E59)</f>
        <v>0.99999999999999989</v>
      </c>
    </row>
    <row r="61" spans="1:32" ht="20.100000000000001" customHeight="1">
      <c r="A61" s="476"/>
      <c r="B61" s="31"/>
      <c r="C61" s="32" t="s">
        <v>2751</v>
      </c>
      <c r="D61" s="33">
        <f>D60*0.2026</f>
        <v>4307814.1250918237</v>
      </c>
      <c r="E61" s="34"/>
    </row>
    <row r="62" spans="1:32" ht="20.100000000000001" customHeight="1">
      <c r="A62" s="476"/>
      <c r="B62" s="35"/>
      <c r="C62" s="84" t="s">
        <v>1218</v>
      </c>
      <c r="D62" s="29">
        <f>D60+D61</f>
        <v>25570470.221300233</v>
      </c>
      <c r="E62" s="36"/>
    </row>
    <row r="63" spans="1:32">
      <c r="A63" s="476"/>
      <c r="B63" s="521" t="s">
        <v>1155</v>
      </c>
      <c r="C63" s="522"/>
      <c r="D63" s="522"/>
      <c r="E63" s="523"/>
    </row>
    <row r="64" spans="1:32">
      <c r="A64" s="476"/>
      <c r="B64" s="37"/>
      <c r="C64" s="38"/>
      <c r="D64" s="39"/>
      <c r="E64" s="39"/>
    </row>
    <row r="65" spans="1:5">
      <c r="A65" s="476"/>
      <c r="B65" s="40" t="s">
        <v>1161</v>
      </c>
      <c r="C65" s="524" t="s">
        <v>1155</v>
      </c>
      <c r="D65" s="525"/>
      <c r="E65" s="526"/>
    </row>
    <row r="66" spans="1:5" ht="26.25" customHeight="1">
      <c r="A66" s="476"/>
      <c r="B66" s="41"/>
      <c r="C66" s="527" t="s">
        <v>1219</v>
      </c>
      <c r="D66" s="528"/>
      <c r="E66" s="529"/>
    </row>
    <row r="67" spans="1:5" ht="29.25" customHeight="1">
      <c r="A67" s="476"/>
      <c r="B67" s="41"/>
      <c r="C67" s="477" t="s">
        <v>1891</v>
      </c>
      <c r="D67" s="477"/>
      <c r="E67" s="517"/>
    </row>
    <row r="68" spans="1:5">
      <c r="A68" s="476"/>
      <c r="B68" s="42"/>
      <c r="C68" s="518" t="s">
        <v>1155</v>
      </c>
      <c r="D68" s="519"/>
      <c r="E68" s="520"/>
    </row>
    <row r="69" spans="1:5" s="317" customFormat="1">
      <c r="A69" s="476"/>
      <c r="B69" s="516"/>
      <c r="C69" s="516"/>
      <c r="D69" s="516"/>
      <c r="E69" s="516"/>
    </row>
    <row r="70" spans="1:5" s="317" customFormat="1"/>
    <row r="71" spans="1:5" s="317" customFormat="1"/>
    <row r="72" spans="1:5" s="317" customFormat="1"/>
    <row r="73" spans="1:5" s="317" customFormat="1"/>
    <row r="74" spans="1:5" s="317" customFormat="1"/>
    <row r="75" spans="1:5" s="317" customFormat="1"/>
    <row r="76" spans="1:5" s="317" customFormat="1"/>
    <row r="77" spans="1:5" s="317" customFormat="1"/>
    <row r="78" spans="1:5" s="317" customFormat="1"/>
    <row r="79" spans="1:5" s="317" customFormat="1"/>
    <row r="80" spans="1:5" s="317" customFormat="1"/>
    <row r="81" s="317" customFormat="1"/>
    <row r="82" s="317" customFormat="1"/>
    <row r="83" s="317" customFormat="1"/>
    <row r="84" s="317" customFormat="1"/>
    <row r="85" s="317" customFormat="1"/>
    <row r="86" s="317" customFormat="1"/>
    <row r="87" s="317" customFormat="1"/>
    <row r="88" s="317" customFormat="1"/>
    <row r="89" s="317" customFormat="1"/>
    <row r="90" s="317" customFormat="1"/>
    <row r="91" s="317" customFormat="1"/>
    <row r="92" s="317" customFormat="1"/>
    <row r="93" s="317" customFormat="1"/>
    <row r="94" s="317" customFormat="1"/>
    <row r="95" s="317" customFormat="1"/>
    <row r="96" s="317" customFormat="1" ht="19.5" customHeight="1"/>
    <row r="97" s="317" customFormat="1"/>
    <row r="98" s="317" customFormat="1"/>
    <row r="99" s="317" customFormat="1"/>
    <row r="100" s="317" customFormat="1"/>
    <row r="101" s="317" customFormat="1"/>
    <row r="102" s="317" customFormat="1"/>
    <row r="103" s="317" customFormat="1"/>
    <row r="104" s="317" customFormat="1"/>
    <row r="105" s="317" customFormat="1"/>
    <row r="106" s="317" customFormat="1"/>
    <row r="107" s="317" customFormat="1"/>
    <row r="108" s="317" customFormat="1"/>
    <row r="109" s="317" customFormat="1"/>
    <row r="110" s="317" customFormat="1"/>
    <row r="111" s="317" customFormat="1"/>
    <row r="112" s="317" customFormat="1"/>
    <row r="113" s="317" customFormat="1"/>
    <row r="114" s="317" customFormat="1"/>
    <row r="115" s="317" customFormat="1"/>
  </sheetData>
  <mergeCells count="19">
    <mergeCell ref="B16:E16"/>
    <mergeCell ref="B7:C7"/>
    <mergeCell ref="B9:C9"/>
    <mergeCell ref="D9:E9"/>
    <mergeCell ref="D12:E12"/>
    <mergeCell ref="B14:E14"/>
    <mergeCell ref="A1:A69"/>
    <mergeCell ref="B1:E1"/>
    <mergeCell ref="C67:E67"/>
    <mergeCell ref="C68:E68"/>
    <mergeCell ref="B69:E69"/>
    <mergeCell ref="B63:E63"/>
    <mergeCell ref="C65:E65"/>
    <mergeCell ref="C66:E66"/>
    <mergeCell ref="D7:E7"/>
    <mergeCell ref="B2:C2"/>
    <mergeCell ref="D2:E2"/>
    <mergeCell ref="B4:C4"/>
    <mergeCell ref="B15:E15"/>
  </mergeCells>
  <pageMargins left="1.1023622047244095" right="0.31496062992125984" top="0.55118110236220474" bottom="0.35433070866141736" header="0.11811023622047245" footer="0.11811023622047245"/>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336"/>
  <sheetViews>
    <sheetView zoomScale="91" zoomScaleNormal="91" workbookViewId="0">
      <selection activeCell="B4" sqref="B4"/>
    </sheetView>
  </sheetViews>
  <sheetFormatPr defaultRowHeight="15"/>
  <cols>
    <col min="1" max="1" width="2.7109375" customWidth="1"/>
    <col min="2" max="2" width="19.7109375" customWidth="1"/>
    <col min="3" max="3" width="46.28515625" customWidth="1"/>
    <col min="4" max="4" width="7" customWidth="1"/>
    <col min="5" max="5" width="15.28515625" customWidth="1"/>
    <col min="7" max="18" width="13.7109375" customWidth="1"/>
    <col min="19" max="19" width="17.140625" customWidth="1"/>
    <col min="20" max="20" width="9.140625" style="317"/>
    <col min="21" max="28" width="9.140625" style="349"/>
    <col min="29" max="54" width="9.140625" style="317"/>
  </cols>
  <sheetData>
    <row r="1" spans="1:54" s="226" customFormat="1" ht="15" customHeight="1">
      <c r="A1" s="476"/>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row>
    <row r="2" spans="1:54" s="226" customFormat="1" ht="15" customHeight="1">
      <c r="A2" s="476"/>
      <c r="B2" s="317"/>
      <c r="C2" s="317"/>
      <c r="D2" s="317"/>
      <c r="E2" s="317"/>
      <c r="F2" s="317"/>
      <c r="G2" s="317"/>
      <c r="H2" s="317"/>
      <c r="I2" s="317"/>
      <c r="J2" s="317"/>
      <c r="K2" s="317"/>
      <c r="L2" s="544" t="s">
        <v>2239</v>
      </c>
      <c r="M2" s="544"/>
      <c r="N2" s="544"/>
      <c r="O2" s="407">
        <v>0.2026</v>
      </c>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row>
    <row r="3" spans="1:54" s="226" customFormat="1" ht="15" customHeight="1">
      <c r="A3" s="476"/>
      <c r="B3" s="317"/>
      <c r="C3" s="317"/>
      <c r="D3" s="317"/>
      <c r="E3" s="317"/>
      <c r="F3" s="317"/>
      <c r="G3" s="317"/>
      <c r="H3" s="317"/>
      <c r="I3" s="317"/>
      <c r="J3" s="317"/>
      <c r="K3" s="317"/>
      <c r="L3" s="544" t="s">
        <v>2786</v>
      </c>
      <c r="M3" s="544"/>
      <c r="N3" s="544"/>
      <c r="O3" s="407">
        <v>0.1326</v>
      </c>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row>
    <row r="4" spans="1:54" s="226" customFormat="1" ht="15" customHeight="1">
      <c r="A4" s="476"/>
      <c r="B4" s="350" t="s">
        <v>2781</v>
      </c>
      <c r="C4" s="574" t="s">
        <v>2755</v>
      </c>
      <c r="D4" s="574"/>
      <c r="E4" s="574"/>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row>
    <row r="5" spans="1:54" s="226" customFormat="1" ht="15" customHeight="1">
      <c r="A5" s="476"/>
      <c r="B5" s="350"/>
      <c r="C5" s="350"/>
      <c r="D5" s="350"/>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row>
    <row r="6" spans="1:54" s="226" customFormat="1" ht="15" customHeight="1">
      <c r="A6" s="476"/>
      <c r="B6" s="350"/>
      <c r="C6" s="350"/>
      <c r="D6" s="350"/>
      <c r="E6" s="317"/>
      <c r="F6" s="317"/>
      <c r="G6" s="317"/>
      <c r="H6" s="317"/>
      <c r="I6" s="317"/>
      <c r="J6" s="317"/>
      <c r="K6" s="317"/>
      <c r="L6" s="317"/>
      <c r="M6" s="317"/>
      <c r="N6" s="317"/>
      <c r="O6" s="317"/>
      <c r="P6" s="583" t="s">
        <v>2849</v>
      </c>
      <c r="Q6" s="583"/>
      <c r="R6" s="583"/>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row>
    <row r="7" spans="1:54" s="226" customFormat="1" ht="15" customHeight="1">
      <c r="A7" s="476"/>
      <c r="B7" s="350"/>
      <c r="C7" s="350"/>
      <c r="D7" s="350"/>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row>
    <row r="8" spans="1:54" s="226" customFormat="1" ht="15" customHeight="1">
      <c r="A8" s="476"/>
      <c r="B8" s="350" t="s">
        <v>2782</v>
      </c>
      <c r="C8" s="574" t="s">
        <v>2787</v>
      </c>
      <c r="D8" s="574"/>
      <c r="E8" s="574"/>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row>
    <row r="9" spans="1:54" s="226" customFormat="1" ht="15" customHeight="1">
      <c r="A9" s="476"/>
      <c r="B9" s="351"/>
      <c r="C9" s="541"/>
      <c r="D9" s="584"/>
      <c r="E9" s="584"/>
      <c r="F9" s="459"/>
      <c r="G9" s="352"/>
      <c r="H9" s="352"/>
      <c r="I9" s="352"/>
      <c r="J9" s="352"/>
      <c r="K9" s="352"/>
      <c r="L9" s="352"/>
      <c r="M9" s="352"/>
      <c r="N9" s="352"/>
      <c r="O9" s="585" t="s">
        <v>2788</v>
      </c>
      <c r="P9" s="585"/>
      <c r="Q9" s="585"/>
      <c r="R9" s="585"/>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row>
    <row r="10" spans="1:54" s="226" customFormat="1" ht="15" customHeight="1">
      <c r="A10" s="476"/>
      <c r="B10" s="351"/>
      <c r="C10" s="541"/>
      <c r="D10" s="584"/>
      <c r="E10" s="584"/>
      <c r="F10" s="459"/>
      <c r="G10" s="352"/>
      <c r="H10" s="352"/>
      <c r="I10" s="352"/>
      <c r="J10" s="352"/>
      <c r="K10" s="352"/>
      <c r="L10" s="352"/>
      <c r="M10" s="352"/>
      <c r="N10" s="352"/>
      <c r="O10" s="352"/>
      <c r="P10" s="352"/>
      <c r="Q10" s="352"/>
      <c r="R10" s="352"/>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7"/>
    </row>
    <row r="11" spans="1:54" s="226" customFormat="1" ht="15" customHeight="1">
      <c r="A11" s="476"/>
      <c r="B11" s="351"/>
      <c r="C11" s="541"/>
      <c r="D11" s="459"/>
      <c r="E11" s="459"/>
      <c r="F11" s="459"/>
      <c r="G11" s="352"/>
      <c r="H11" s="352"/>
      <c r="I11" s="352"/>
      <c r="J11" s="352"/>
      <c r="K11" s="352"/>
      <c r="L11" s="352"/>
      <c r="M11" s="352"/>
      <c r="N11" s="352"/>
      <c r="O11" s="585" t="s">
        <v>2831</v>
      </c>
      <c r="P11" s="585"/>
      <c r="Q11" s="585"/>
      <c r="R11" s="585"/>
      <c r="S11" s="317"/>
      <c r="T11" s="317"/>
      <c r="U11" s="317"/>
      <c r="V11" s="358"/>
      <c r="W11" s="358"/>
      <c r="X11" s="358"/>
      <c r="Y11" s="358"/>
      <c r="Z11" s="358"/>
      <c r="AA11" s="358"/>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row>
    <row r="12" spans="1:54" s="226" customFormat="1" ht="15" customHeight="1">
      <c r="A12" s="476"/>
      <c r="B12" s="351"/>
      <c r="C12" s="541"/>
      <c r="D12" s="459"/>
      <c r="E12" s="459"/>
      <c r="F12" s="459"/>
      <c r="G12" s="352"/>
      <c r="H12" s="352"/>
      <c r="I12" s="352"/>
      <c r="J12" s="352"/>
      <c r="K12" s="352"/>
      <c r="L12" s="352"/>
      <c r="M12" s="352"/>
      <c r="N12" s="353"/>
      <c r="O12" s="585" t="s">
        <v>2832</v>
      </c>
      <c r="P12" s="585"/>
      <c r="Q12" s="585"/>
      <c r="R12" s="585"/>
      <c r="S12" s="317"/>
      <c r="T12" s="317"/>
      <c r="U12" s="317"/>
      <c r="V12" s="358"/>
      <c r="W12" s="358"/>
      <c r="X12" s="358"/>
      <c r="Y12" s="358"/>
      <c r="Z12" s="358"/>
      <c r="AA12" s="358"/>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17"/>
    </row>
    <row r="13" spans="1:54" s="226" customFormat="1" ht="15" customHeight="1">
      <c r="A13" s="476"/>
      <c r="B13" s="406"/>
      <c r="C13" s="586"/>
      <c r="D13" s="587"/>
      <c r="E13" s="587"/>
      <c r="F13" s="587"/>
      <c r="G13" s="352"/>
      <c r="H13" s="352"/>
      <c r="I13" s="352"/>
      <c r="J13" s="352"/>
      <c r="K13" s="352"/>
      <c r="L13" s="352"/>
      <c r="M13" s="352"/>
      <c r="N13" s="585" t="s">
        <v>2850</v>
      </c>
      <c r="O13" s="585"/>
      <c r="P13" s="585"/>
      <c r="Q13" s="585"/>
      <c r="R13" s="585"/>
      <c r="S13" s="317"/>
      <c r="T13" s="317"/>
      <c r="U13" s="317"/>
      <c r="V13" s="358"/>
      <c r="W13" s="358"/>
      <c r="X13" s="358"/>
      <c r="Y13" s="358"/>
      <c r="Z13" s="358"/>
      <c r="AA13" s="358"/>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row>
    <row r="14" spans="1:54" s="226" customFormat="1" ht="15" customHeight="1">
      <c r="A14" s="476"/>
      <c r="B14" s="575" t="s">
        <v>2789</v>
      </c>
      <c r="C14" s="575"/>
      <c r="D14" s="575"/>
      <c r="E14" s="575"/>
      <c r="F14" s="575"/>
      <c r="G14" s="575"/>
      <c r="H14" s="575"/>
      <c r="I14" s="575"/>
      <c r="J14" s="575"/>
      <c r="K14" s="575"/>
      <c r="L14" s="575"/>
      <c r="M14" s="575"/>
      <c r="N14" s="575"/>
      <c r="O14" s="575"/>
      <c r="P14" s="575"/>
      <c r="Q14" s="575"/>
      <c r="R14" s="575"/>
      <c r="S14" s="575"/>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row>
    <row r="15" spans="1:54" s="226" customFormat="1" ht="15" customHeight="1">
      <c r="A15" s="476"/>
      <c r="B15" s="576" t="s">
        <v>1204</v>
      </c>
      <c r="C15" s="545" t="s">
        <v>1205</v>
      </c>
      <c r="D15" s="545"/>
      <c r="E15" s="545" t="s">
        <v>2790</v>
      </c>
      <c r="F15" s="547" t="s">
        <v>1159</v>
      </c>
      <c r="G15" s="549" t="s">
        <v>1220</v>
      </c>
      <c r="H15" s="549"/>
      <c r="I15" s="549"/>
      <c r="J15" s="549"/>
      <c r="K15" s="549"/>
      <c r="L15" s="549"/>
      <c r="M15" s="549"/>
      <c r="N15" s="549"/>
      <c r="O15" s="549"/>
      <c r="P15" s="549"/>
      <c r="Q15" s="549"/>
      <c r="R15" s="549"/>
      <c r="S15" s="588" t="s">
        <v>2791</v>
      </c>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row>
    <row r="16" spans="1:54" s="226" customFormat="1">
      <c r="A16" s="476"/>
      <c r="B16" s="577"/>
      <c r="C16" s="546"/>
      <c r="D16" s="546"/>
      <c r="E16" s="546"/>
      <c r="F16" s="548"/>
      <c r="G16" s="354">
        <v>1</v>
      </c>
      <c r="H16" s="354">
        <v>2</v>
      </c>
      <c r="I16" s="354">
        <v>3</v>
      </c>
      <c r="J16" s="354">
        <v>4</v>
      </c>
      <c r="K16" s="354">
        <v>5</v>
      </c>
      <c r="L16" s="354">
        <v>6</v>
      </c>
      <c r="M16" s="354">
        <v>7</v>
      </c>
      <c r="N16" s="354">
        <v>8</v>
      </c>
      <c r="O16" s="354">
        <v>9</v>
      </c>
      <c r="P16" s="354">
        <v>10</v>
      </c>
      <c r="Q16" s="354">
        <v>11</v>
      </c>
      <c r="R16" s="354">
        <v>12</v>
      </c>
      <c r="S16" s="589"/>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row>
    <row r="17" spans="1:28" ht="15.75" thickBot="1">
      <c r="A17" s="476"/>
      <c r="B17" s="21" t="str">
        <f>RESUMO!B18</f>
        <v>01.00.000</v>
      </c>
      <c r="C17" s="550" t="str">
        <f>RESUMO!C18</f>
        <v>SERVIÇOS TÉCNICO-PROFISSIONAIS</v>
      </c>
      <c r="D17" s="551"/>
      <c r="E17" s="21">
        <f>RESUMO!D18*1.2026</f>
        <v>5711.8689599999998</v>
      </c>
      <c r="F17" s="43">
        <f>E17/E97</f>
        <v>2.2337754881183254E-4</v>
      </c>
      <c r="G17" s="44">
        <f>E17*G18</f>
        <v>5711.8689599999998</v>
      </c>
      <c r="H17" s="45"/>
      <c r="I17" s="45"/>
      <c r="J17" s="45"/>
      <c r="K17" s="45"/>
      <c r="L17" s="45"/>
      <c r="M17" s="45"/>
      <c r="N17" s="45"/>
      <c r="O17" s="45"/>
      <c r="P17" s="45"/>
      <c r="Q17" s="45"/>
      <c r="R17" s="45"/>
      <c r="S17" s="402">
        <f>SUM(G17:R17)</f>
        <v>5711.8689599999998</v>
      </c>
      <c r="U17" s="317"/>
      <c r="V17" s="317"/>
      <c r="W17" s="317"/>
      <c r="X17" s="317"/>
      <c r="Y17" s="317"/>
      <c r="Z17" s="317"/>
      <c r="AA17" s="317"/>
      <c r="AB17" s="317"/>
    </row>
    <row r="18" spans="1:28" ht="15.75" thickTop="1">
      <c r="A18" s="476"/>
      <c r="B18" s="23"/>
      <c r="C18" s="87"/>
      <c r="D18" s="88"/>
      <c r="E18" s="23" t="s">
        <v>1155</v>
      </c>
      <c r="F18" s="47"/>
      <c r="G18" s="48">
        <v>1</v>
      </c>
      <c r="H18" s="48"/>
      <c r="I18" s="48"/>
      <c r="J18" s="48"/>
      <c r="K18" s="48"/>
      <c r="L18" s="48"/>
      <c r="M18" s="48"/>
      <c r="N18" s="48"/>
      <c r="O18" s="48"/>
      <c r="P18" s="48"/>
      <c r="Q18" s="48"/>
      <c r="R18" s="48"/>
      <c r="S18" s="403" t="s">
        <v>1155</v>
      </c>
      <c r="U18" s="317"/>
      <c r="V18" s="317"/>
      <c r="W18" s="317"/>
      <c r="X18" s="317"/>
      <c r="Y18" s="317"/>
      <c r="Z18" s="317"/>
      <c r="AA18" s="317"/>
      <c r="AB18" s="317"/>
    </row>
    <row r="19" spans="1:28" ht="15.75" thickBot="1">
      <c r="A19" s="476"/>
      <c r="B19" s="49" t="str">
        <f>RESUMO!B19</f>
        <v>02.00.000</v>
      </c>
      <c r="C19" s="554" t="str">
        <f>RESUMO!C19</f>
        <v>SERVIÇOS PRELIMINARES</v>
      </c>
      <c r="D19" s="555"/>
      <c r="E19" s="49">
        <f>RESUMO!D19*1.2026</f>
        <v>781140.50559786917</v>
      </c>
      <c r="F19" s="50">
        <f>E19/E97</f>
        <v>3.0548538952841729E-2</v>
      </c>
      <c r="G19" s="51">
        <f>E19*G20</f>
        <v>609289.59436633799</v>
      </c>
      <c r="H19" s="51">
        <f>E19*H20</f>
        <v>171850.91123153121</v>
      </c>
      <c r="I19" s="52"/>
      <c r="J19" s="52"/>
      <c r="K19" s="52"/>
      <c r="L19" s="52"/>
      <c r="M19" s="52"/>
      <c r="N19" s="52"/>
      <c r="O19" s="52"/>
      <c r="P19" s="52"/>
      <c r="Q19" s="52"/>
      <c r="R19" s="52"/>
      <c r="S19" s="403">
        <f>SUM(G19:R19)</f>
        <v>781140.50559786917</v>
      </c>
      <c r="U19" s="317"/>
      <c r="V19" s="317"/>
      <c r="W19" s="317"/>
      <c r="X19" s="317"/>
      <c r="Y19" s="317"/>
      <c r="Z19" s="317"/>
      <c r="AA19" s="317"/>
      <c r="AB19" s="317"/>
    </row>
    <row r="20" spans="1:28" ht="15.75" thickTop="1">
      <c r="A20" s="476"/>
      <c r="B20" s="53"/>
      <c r="C20" s="54"/>
      <c r="D20" s="55"/>
      <c r="E20" s="53"/>
      <c r="F20" s="56"/>
      <c r="G20" s="57">
        <v>0.78</v>
      </c>
      <c r="H20" s="57">
        <v>0.22</v>
      </c>
      <c r="I20" s="48"/>
      <c r="J20" s="48"/>
      <c r="K20" s="48"/>
      <c r="L20" s="48"/>
      <c r="M20" s="48"/>
      <c r="N20" s="48"/>
      <c r="O20" s="48"/>
      <c r="P20" s="48"/>
      <c r="Q20" s="48"/>
      <c r="R20" s="48"/>
      <c r="S20" s="403" t="s">
        <v>1155</v>
      </c>
      <c r="U20" s="317"/>
      <c r="V20" s="317"/>
      <c r="W20" s="317"/>
      <c r="X20" s="317"/>
      <c r="Y20" s="317"/>
      <c r="Z20" s="317"/>
      <c r="AA20" s="317"/>
      <c r="AB20" s="317"/>
    </row>
    <row r="21" spans="1:28">
      <c r="A21" s="476"/>
      <c r="B21" s="23" t="str">
        <f>[1]Orçamento!B62</f>
        <v>03.00.000</v>
      </c>
      <c r="C21" s="552" t="str">
        <f>[1]Orçamento!D62</f>
        <v xml:space="preserve">FUNDAÇÕES E ESTRUTURAS </v>
      </c>
      <c r="D21" s="553"/>
      <c r="E21" s="23" t="s">
        <v>1206</v>
      </c>
      <c r="F21" s="47" t="s">
        <v>1206</v>
      </c>
      <c r="G21" s="58"/>
      <c r="H21" s="58"/>
      <c r="I21" s="58"/>
      <c r="J21" s="58"/>
      <c r="K21" s="58"/>
      <c r="L21" s="58"/>
      <c r="M21" s="58"/>
      <c r="N21" s="58"/>
      <c r="O21" s="58"/>
      <c r="P21" s="58"/>
      <c r="Q21" s="58"/>
      <c r="R21" s="58"/>
      <c r="S21" s="403" t="s">
        <v>1155</v>
      </c>
      <c r="U21" s="317"/>
      <c r="V21" s="317"/>
      <c r="W21" s="317"/>
      <c r="X21" s="317"/>
      <c r="Y21" s="317"/>
      <c r="Z21" s="317"/>
      <c r="AA21" s="317"/>
      <c r="AB21" s="317"/>
    </row>
    <row r="22" spans="1:28" ht="15.75" thickBot="1">
      <c r="A22" s="476"/>
      <c r="B22" s="59" t="str">
        <f>RESUMO!B21</f>
        <v>03.01.400</v>
      </c>
      <c r="C22" s="542" t="str">
        <f>RESUMO!C21</f>
        <v>Fundações Profundas</v>
      </c>
      <c r="D22" s="543"/>
      <c r="E22" s="49">
        <f>RESUMO!D21*1.2026</f>
        <v>1089003.5173224683</v>
      </c>
      <c r="F22" s="50">
        <f>E22/E97</f>
        <v>4.258832582653594E-2</v>
      </c>
      <c r="G22" s="60">
        <f>E22*G23</f>
        <v>544501.75866123417</v>
      </c>
      <c r="H22" s="60">
        <f>E22*H23</f>
        <v>544501.75866123417</v>
      </c>
      <c r="I22" s="61"/>
      <c r="J22" s="61"/>
      <c r="K22" s="61"/>
      <c r="L22" s="61"/>
      <c r="M22" s="61"/>
      <c r="N22" s="61"/>
      <c r="O22" s="61"/>
      <c r="P22" s="61"/>
      <c r="Q22" s="61"/>
      <c r="R22" s="61"/>
      <c r="S22" s="403">
        <f>SUM(G22:R22)</f>
        <v>1089003.5173224683</v>
      </c>
      <c r="U22" s="317"/>
      <c r="V22" s="317"/>
      <c r="W22" s="317"/>
      <c r="X22" s="317"/>
      <c r="Y22" s="317"/>
      <c r="Z22" s="317"/>
      <c r="AA22" s="317"/>
      <c r="AB22" s="317"/>
    </row>
    <row r="23" spans="1:28" ht="15.75" thickTop="1">
      <c r="A23" s="476"/>
      <c r="B23" s="62"/>
      <c r="C23" s="63"/>
      <c r="D23" s="64"/>
      <c r="E23" s="53"/>
      <c r="F23" s="56"/>
      <c r="G23" s="48">
        <v>0.5</v>
      </c>
      <c r="H23" s="48">
        <v>0.5</v>
      </c>
      <c r="I23" s="65"/>
      <c r="J23" s="65"/>
      <c r="K23" s="65"/>
      <c r="L23" s="65"/>
      <c r="M23" s="65"/>
      <c r="N23" s="65"/>
      <c r="O23" s="65"/>
      <c r="P23" s="65"/>
      <c r="Q23" s="65"/>
      <c r="R23" s="65"/>
      <c r="S23" s="403" t="s">
        <v>1155</v>
      </c>
      <c r="U23" s="317"/>
      <c r="V23" s="582" t="s">
        <v>2801</v>
      </c>
      <c r="W23" s="582"/>
      <c r="X23" s="582"/>
      <c r="Y23" s="582"/>
      <c r="Z23" s="582"/>
      <c r="AA23" s="582"/>
      <c r="AB23" s="317"/>
    </row>
    <row r="24" spans="1:28" ht="15.75" thickBot="1">
      <c r="A24" s="476"/>
      <c r="B24" s="59" t="str">
        <f>RESUMO!B22</f>
        <v>03.01.500</v>
      </c>
      <c r="C24" s="542" t="str">
        <f>RESUMO!C22</f>
        <v>Blocos e Cintas de Fundações</v>
      </c>
      <c r="D24" s="543"/>
      <c r="E24" s="49">
        <f>RESUMO!D22*1.2026</f>
        <v>1158962.4199552068</v>
      </c>
      <c r="F24" s="50">
        <f>E24/E97</f>
        <v>4.5324251369839509E-2</v>
      </c>
      <c r="G24" s="52"/>
      <c r="H24" s="51">
        <f>E24*H25</f>
        <v>405636.84698432236</v>
      </c>
      <c r="I24" s="51">
        <f>E24*I25</f>
        <v>405636.84698432236</v>
      </c>
      <c r="J24" s="51">
        <f>E24*J25</f>
        <v>347688.72598656203</v>
      </c>
      <c r="K24" s="61"/>
      <c r="L24" s="61"/>
      <c r="M24" s="61"/>
      <c r="N24" s="61"/>
      <c r="O24" s="61"/>
      <c r="P24" s="61"/>
      <c r="Q24" s="61"/>
      <c r="R24" s="61"/>
      <c r="S24" s="403">
        <f>SUM(G24:R24)</f>
        <v>1158962.4199552068</v>
      </c>
      <c r="U24" s="317"/>
      <c r="V24" s="590" t="s">
        <v>2802</v>
      </c>
      <c r="W24" s="590"/>
      <c r="X24" s="590"/>
      <c r="Y24" s="590"/>
      <c r="Z24" s="590"/>
      <c r="AA24" s="590"/>
      <c r="AB24" s="317"/>
    </row>
    <row r="25" spans="1:28" ht="15.75" thickTop="1">
      <c r="A25" s="476"/>
      <c r="B25" s="62"/>
      <c r="C25" s="63"/>
      <c r="D25" s="64"/>
      <c r="E25" s="53"/>
      <c r="F25" s="56"/>
      <c r="G25" s="48"/>
      <c r="H25" s="57">
        <v>0.35</v>
      </c>
      <c r="I25" s="57">
        <v>0.35</v>
      </c>
      <c r="J25" s="57">
        <v>0.3</v>
      </c>
      <c r="K25" s="65"/>
      <c r="L25" s="65"/>
      <c r="M25" s="65"/>
      <c r="N25" s="65"/>
      <c r="O25" s="65"/>
      <c r="P25" s="65"/>
      <c r="Q25" s="65"/>
      <c r="R25" s="65"/>
      <c r="S25" s="403" t="s">
        <v>1155</v>
      </c>
      <c r="U25" s="317"/>
      <c r="V25" s="317"/>
      <c r="W25" s="317"/>
      <c r="X25" s="317"/>
      <c r="Y25" s="317"/>
      <c r="Z25" s="317"/>
      <c r="AA25" s="317"/>
      <c r="AB25" s="317"/>
    </row>
    <row r="26" spans="1:28" ht="15.75" thickBot="1">
      <c r="A26" s="476"/>
      <c r="B26" s="59" t="str">
        <f>RESUMO!B23</f>
        <v>03.02.000</v>
      </c>
      <c r="C26" s="542" t="str">
        <f>RESUMO!C23</f>
        <v>Estruturas de concreto</v>
      </c>
      <c r="D26" s="543"/>
      <c r="E26" s="49">
        <f>RESUMO!D23*1.2026</f>
        <v>3264496.5723487311</v>
      </c>
      <c r="F26" s="50">
        <f>E26/E97</f>
        <v>0.12766666174286476</v>
      </c>
      <c r="G26" s="58"/>
      <c r="H26" s="51">
        <f>E26*H27</f>
        <v>489674.48585230962</v>
      </c>
      <c r="I26" s="51">
        <f>E26*I27</f>
        <v>816124.14308718278</v>
      </c>
      <c r="J26" s="51">
        <f>E26*J27</f>
        <v>816124.14308718278</v>
      </c>
      <c r="K26" s="51">
        <f>E26*K27</f>
        <v>816124.14308718278</v>
      </c>
      <c r="L26" s="51">
        <f>E26*L27</f>
        <v>326449.65723487316</v>
      </c>
      <c r="M26" s="61"/>
      <c r="N26" s="61"/>
      <c r="O26" s="61"/>
      <c r="P26" s="61"/>
      <c r="Q26" s="61"/>
      <c r="R26" s="61"/>
      <c r="S26" s="403">
        <f>SUM(G26:R26)</f>
        <v>3264496.5723487311</v>
      </c>
      <c r="U26" s="317"/>
      <c r="V26" s="317"/>
      <c r="W26" s="317"/>
      <c r="X26" s="317"/>
      <c r="Y26" s="317"/>
      <c r="Z26" s="317"/>
      <c r="AA26" s="317"/>
      <c r="AB26" s="317"/>
    </row>
    <row r="27" spans="1:28" ht="15.75" thickTop="1">
      <c r="A27" s="476"/>
      <c r="B27" s="62"/>
      <c r="C27" s="63"/>
      <c r="D27" s="64"/>
      <c r="E27" s="53"/>
      <c r="F27" s="56"/>
      <c r="G27" s="65"/>
      <c r="H27" s="57">
        <v>0.15</v>
      </c>
      <c r="I27" s="57">
        <v>0.25</v>
      </c>
      <c r="J27" s="57">
        <v>0.25</v>
      </c>
      <c r="K27" s="57">
        <v>0.25</v>
      </c>
      <c r="L27" s="57">
        <v>0.1</v>
      </c>
      <c r="M27" s="65"/>
      <c r="N27" s="65"/>
      <c r="O27" s="65"/>
      <c r="P27" s="65"/>
      <c r="Q27" s="65"/>
      <c r="R27" s="65"/>
      <c r="S27" s="403" t="s">
        <v>1155</v>
      </c>
      <c r="U27" s="317"/>
      <c r="V27" s="317"/>
      <c r="W27" s="317"/>
      <c r="X27" s="317"/>
      <c r="Y27" s="317"/>
      <c r="Z27" s="317"/>
      <c r="AA27" s="317"/>
      <c r="AB27" s="317"/>
    </row>
    <row r="28" spans="1:28" ht="15.75" thickBot="1">
      <c r="A28" s="476"/>
      <c r="B28" s="24" t="str">
        <f>RESUMO!B24</f>
        <v>03.03.000</v>
      </c>
      <c r="C28" s="89" t="str">
        <f>RESUMO!C24</f>
        <v>Estruturas Metálicas</v>
      </c>
      <c r="D28" s="90"/>
      <c r="E28" s="23">
        <f>RESUMO!D24*1.2026</f>
        <v>5574138.4147451362</v>
      </c>
      <c r="F28" s="50">
        <f>E28/E97</f>
        <v>0.21799123623866234</v>
      </c>
      <c r="G28" s="65"/>
      <c r="H28" s="48"/>
      <c r="I28" s="48"/>
      <c r="J28" s="60">
        <f>E28*J29</f>
        <v>1114827.6829490273</v>
      </c>
      <c r="K28" s="60">
        <f>E28*K29</f>
        <v>1393534.603686284</v>
      </c>
      <c r="L28" s="60">
        <f>E28*L29</f>
        <v>1393534.603686284</v>
      </c>
      <c r="M28" s="60">
        <f>E28*M29</f>
        <v>1114827.6829490273</v>
      </c>
      <c r="N28" s="60">
        <f>E28*N29</f>
        <v>557413.84147451364</v>
      </c>
      <c r="O28" s="65"/>
      <c r="P28" s="65"/>
      <c r="Q28" s="65"/>
      <c r="R28" s="65"/>
      <c r="S28" s="403">
        <f>SUM(G28:R28)</f>
        <v>5574138.4147451362</v>
      </c>
      <c r="U28" s="317"/>
      <c r="V28" s="317"/>
      <c r="W28" s="317"/>
      <c r="X28" s="317"/>
      <c r="Y28" s="317"/>
      <c r="Z28" s="317"/>
      <c r="AA28" s="317"/>
      <c r="AB28" s="317"/>
    </row>
    <row r="29" spans="1:28" ht="15.75" thickTop="1">
      <c r="A29" s="476"/>
      <c r="B29" s="24"/>
      <c r="C29" s="89"/>
      <c r="D29" s="90"/>
      <c r="E29" s="23"/>
      <c r="F29" s="47"/>
      <c r="G29" s="65"/>
      <c r="H29" s="48"/>
      <c r="I29" s="48"/>
      <c r="J29" s="48">
        <v>0.2</v>
      </c>
      <c r="K29" s="48">
        <v>0.25</v>
      </c>
      <c r="L29" s="48">
        <v>0.25</v>
      </c>
      <c r="M29" s="48">
        <v>0.2</v>
      </c>
      <c r="N29" s="48">
        <v>0.1</v>
      </c>
      <c r="O29" s="65"/>
      <c r="P29" s="65"/>
      <c r="Q29" s="65"/>
      <c r="R29" s="65"/>
      <c r="S29" s="403" t="s">
        <v>1155</v>
      </c>
      <c r="U29" s="317"/>
      <c r="V29" s="582" t="s">
        <v>2803</v>
      </c>
      <c r="W29" s="582"/>
      <c r="X29" s="582"/>
      <c r="Y29" s="582"/>
      <c r="Z29" s="582"/>
      <c r="AA29" s="582"/>
      <c r="AB29" s="317"/>
    </row>
    <row r="30" spans="1:28">
      <c r="A30" s="476"/>
      <c r="B30" s="66" t="str">
        <f>[1]Orçamento!B124</f>
        <v>04.00.000</v>
      </c>
      <c r="C30" s="580" t="str">
        <f>[1]Orçamento!D124</f>
        <v>ARQUITETURA E ELEMENTOS DE URBANISMO</v>
      </c>
      <c r="D30" s="581"/>
      <c r="E30" s="66" t="s">
        <v>1155</v>
      </c>
      <c r="F30" s="67" t="s">
        <v>1155</v>
      </c>
      <c r="G30" s="61"/>
      <c r="H30" s="58"/>
      <c r="I30" s="58"/>
      <c r="J30" s="58"/>
      <c r="K30" s="58"/>
      <c r="L30" s="58"/>
      <c r="M30" s="61"/>
      <c r="N30" s="61"/>
      <c r="O30" s="61"/>
      <c r="P30" s="61"/>
      <c r="Q30" s="61"/>
      <c r="R30" s="61"/>
      <c r="S30" s="403" t="s">
        <v>1155</v>
      </c>
      <c r="U30" s="317"/>
      <c r="V30" s="590" t="s">
        <v>2802</v>
      </c>
      <c r="W30" s="590"/>
      <c r="X30" s="590"/>
      <c r="Y30" s="590"/>
      <c r="Z30" s="590"/>
      <c r="AA30" s="590"/>
      <c r="AB30" s="317"/>
    </row>
    <row r="31" spans="1:28" ht="15.75" thickBot="1">
      <c r="A31" s="476"/>
      <c r="B31" s="59" t="str">
        <f>RESUMO!B26</f>
        <v>04.01.100</v>
      </c>
      <c r="C31" s="112" t="str">
        <f>RESUMO!C26</f>
        <v>Paredes</v>
      </c>
      <c r="D31" s="113"/>
      <c r="E31" s="49">
        <f>RESUMO!D26*1.2026</f>
        <v>974313.32497352175</v>
      </c>
      <c r="F31" s="50">
        <f>E31/E97</f>
        <v>3.8103066409858909E-2</v>
      </c>
      <c r="G31" s="61"/>
      <c r="H31" s="61"/>
      <c r="I31" s="61"/>
      <c r="J31" s="52" t="s">
        <v>1155</v>
      </c>
      <c r="K31" s="51">
        <f>E31*K32</f>
        <v>146146.99874602826</v>
      </c>
      <c r="L31" s="51">
        <f>E31*L32</f>
        <v>194862.66499470436</v>
      </c>
      <c r="M31" s="51">
        <f>E31*M32</f>
        <v>194862.66499470436</v>
      </c>
      <c r="N31" s="60">
        <f>E31*N32</f>
        <v>194862.66499470436</v>
      </c>
      <c r="O31" s="60">
        <f>E31*O32</f>
        <v>146146.99874602826</v>
      </c>
      <c r="P31" s="60">
        <f>E31*P32</f>
        <v>97431.332497352181</v>
      </c>
      <c r="Q31" s="61"/>
      <c r="R31" s="61"/>
      <c r="S31" s="403">
        <f>SUM(G31:R31)</f>
        <v>974313.32497352175</v>
      </c>
      <c r="U31" s="317"/>
      <c r="V31" s="317"/>
      <c r="W31" s="317"/>
      <c r="X31" s="317"/>
      <c r="Y31" s="317"/>
      <c r="Z31" s="317"/>
      <c r="AA31" s="317"/>
      <c r="AB31" s="317"/>
    </row>
    <row r="32" spans="1:28" ht="15.75" thickTop="1">
      <c r="A32" s="476"/>
      <c r="B32" s="62"/>
      <c r="C32" s="63"/>
      <c r="D32" s="64"/>
      <c r="E32" s="53"/>
      <c r="F32" s="56"/>
      <c r="G32" s="65"/>
      <c r="H32" s="65"/>
      <c r="I32" s="65"/>
      <c r="J32" s="48" t="s">
        <v>1155</v>
      </c>
      <c r="K32" s="57">
        <v>0.15</v>
      </c>
      <c r="L32" s="57">
        <v>0.2</v>
      </c>
      <c r="M32" s="57">
        <v>0.2</v>
      </c>
      <c r="N32" s="48">
        <v>0.2</v>
      </c>
      <c r="O32" s="48">
        <v>0.15</v>
      </c>
      <c r="P32" s="48">
        <v>0.1</v>
      </c>
      <c r="Q32" s="65"/>
      <c r="R32" s="65"/>
      <c r="S32" s="403" t="s">
        <v>1155</v>
      </c>
      <c r="U32" s="317"/>
      <c r="V32" s="317"/>
      <c r="W32" s="317"/>
      <c r="X32" s="317"/>
      <c r="Y32" s="317"/>
      <c r="Z32" s="317"/>
      <c r="AA32" s="317"/>
      <c r="AB32" s="317"/>
    </row>
    <row r="33" spans="1:28" ht="15.75" thickBot="1">
      <c r="A33" s="476"/>
      <c r="B33" s="59" t="str">
        <f>RESUMO!B27</f>
        <v>04.01.200</v>
      </c>
      <c r="C33" s="542" t="str">
        <f>RESUMO!C27</f>
        <v>Esquadrias</v>
      </c>
      <c r="D33" s="543"/>
      <c r="E33" s="49">
        <f>RESUMO!D27*1.2026</f>
        <v>1807281.4232809602</v>
      </c>
      <c r="F33" s="50">
        <f>E33/E97</f>
        <v>7.0678458692382345E-2</v>
      </c>
      <c r="G33" s="61"/>
      <c r="H33" s="61"/>
      <c r="I33" s="61"/>
      <c r="J33" s="61"/>
      <c r="K33" s="61"/>
      <c r="L33" s="51">
        <f>E33*L34</f>
        <v>271092.21349214402</v>
      </c>
      <c r="M33" s="51">
        <f>E33*M34</f>
        <v>361456.28465619206</v>
      </c>
      <c r="N33" s="51">
        <f>E33*N34</f>
        <v>361456.28465619206</v>
      </c>
      <c r="O33" s="51">
        <f>E33*O34</f>
        <v>361456.28465619206</v>
      </c>
      <c r="P33" s="60">
        <f>E33*P34</f>
        <v>271092.21349214402</v>
      </c>
      <c r="Q33" s="60">
        <f>E33*Q34</f>
        <v>180728.14232809603</v>
      </c>
      <c r="R33" s="58"/>
      <c r="S33" s="403">
        <f>SUM(G33:R33)</f>
        <v>1807281.4232809604</v>
      </c>
      <c r="U33" s="317"/>
      <c r="V33" s="317"/>
      <c r="W33" s="317"/>
      <c r="X33" s="317"/>
      <c r="Y33" s="317"/>
      <c r="Z33" s="317"/>
      <c r="AA33" s="317"/>
      <c r="AB33" s="317"/>
    </row>
    <row r="34" spans="1:28" ht="15.75" thickTop="1">
      <c r="A34" s="476"/>
      <c r="B34" s="62"/>
      <c r="C34" s="63"/>
      <c r="D34" s="64"/>
      <c r="E34" s="53"/>
      <c r="F34" s="56"/>
      <c r="G34" s="65"/>
      <c r="H34" s="65"/>
      <c r="I34" s="65"/>
      <c r="J34" s="65"/>
      <c r="K34" s="65"/>
      <c r="L34" s="57">
        <v>0.15</v>
      </c>
      <c r="M34" s="57">
        <v>0.2</v>
      </c>
      <c r="N34" s="57">
        <v>0.2</v>
      </c>
      <c r="O34" s="57">
        <v>0.2</v>
      </c>
      <c r="P34" s="48">
        <v>0.15</v>
      </c>
      <c r="Q34" s="48">
        <v>0.1</v>
      </c>
      <c r="R34" s="65"/>
      <c r="S34" s="403" t="s">
        <v>1155</v>
      </c>
      <c r="U34" s="317"/>
      <c r="V34" s="317"/>
      <c r="W34" s="317"/>
      <c r="X34" s="317"/>
      <c r="Y34" s="317"/>
      <c r="Z34" s="317"/>
      <c r="AA34" s="317"/>
      <c r="AB34" s="317"/>
    </row>
    <row r="35" spans="1:28" ht="15.75" thickBot="1">
      <c r="A35" s="476"/>
      <c r="B35" s="59" t="str">
        <f>RESUMO!B28</f>
        <v>04.01.240</v>
      </c>
      <c r="C35" s="542" t="str">
        <f>RESUMO!C28</f>
        <v>Portas e Janelas de vidro</v>
      </c>
      <c r="D35" s="543"/>
      <c r="E35" s="49">
        <f>RESUMO!D28*1.2026</f>
        <v>252818.58735695222</v>
      </c>
      <c r="F35" s="50">
        <f>E35/E97</f>
        <v>9.8871309431906411E-3</v>
      </c>
      <c r="G35" s="61"/>
      <c r="H35" s="61"/>
      <c r="I35" s="61"/>
      <c r="J35" s="61"/>
      <c r="K35" s="52" t="s">
        <v>1155</v>
      </c>
      <c r="L35" s="52" t="s">
        <v>1155</v>
      </c>
      <c r="M35" s="52" t="s">
        <v>1155</v>
      </c>
      <c r="N35" s="52" t="s">
        <v>1155</v>
      </c>
      <c r="O35" s="52" t="s">
        <v>1155</v>
      </c>
      <c r="P35" s="52" t="s">
        <v>1155</v>
      </c>
      <c r="Q35" s="60">
        <f>E35*Q36</f>
        <v>126409.29367847611</v>
      </c>
      <c r="R35" s="60">
        <f>E35*R36</f>
        <v>126409.29367847611</v>
      </c>
      <c r="S35" s="403">
        <f>SUM(G35:R35)</f>
        <v>252818.58735695222</v>
      </c>
      <c r="U35" s="317"/>
      <c r="V35" s="582" t="s">
        <v>2804</v>
      </c>
      <c r="W35" s="582"/>
      <c r="X35" s="582"/>
      <c r="Y35" s="582"/>
      <c r="Z35" s="582"/>
      <c r="AA35" s="582"/>
      <c r="AB35" s="317"/>
    </row>
    <row r="36" spans="1:28" ht="15.75" thickTop="1">
      <c r="A36" s="476"/>
      <c r="B36" s="62"/>
      <c r="C36" s="63"/>
      <c r="D36" s="64"/>
      <c r="E36" s="53"/>
      <c r="F36" s="56"/>
      <c r="G36" s="65"/>
      <c r="H36" s="65"/>
      <c r="I36" s="65"/>
      <c r="J36" s="65"/>
      <c r="K36" s="48"/>
      <c r="L36" s="48"/>
      <c r="M36" s="48"/>
      <c r="N36" s="48"/>
      <c r="O36" s="48"/>
      <c r="P36" s="48" t="s">
        <v>1155</v>
      </c>
      <c r="Q36" s="48">
        <v>0.5</v>
      </c>
      <c r="R36" s="48">
        <v>0.5</v>
      </c>
      <c r="S36" s="403" t="s">
        <v>1155</v>
      </c>
      <c r="U36" s="317"/>
      <c r="V36" s="590" t="s">
        <v>2802</v>
      </c>
      <c r="W36" s="590"/>
      <c r="X36" s="590"/>
      <c r="Y36" s="590"/>
      <c r="Z36" s="590"/>
      <c r="AA36" s="590"/>
      <c r="AB36" s="317"/>
    </row>
    <row r="37" spans="1:28" ht="15.75" thickBot="1">
      <c r="A37" s="476"/>
      <c r="B37" s="59" t="str">
        <f>RESUMO!B29</f>
        <v>04.01.300</v>
      </c>
      <c r="C37" s="542" t="str">
        <f>RESUMO!C29</f>
        <v>Vidros e Plásticos</v>
      </c>
      <c r="D37" s="543"/>
      <c r="E37" s="49">
        <f>RESUMO!D29*1.2026</f>
        <v>410103.81953987107</v>
      </c>
      <c r="F37" s="50">
        <f>E37/E97</f>
        <v>1.6038180604056877E-2</v>
      </c>
      <c r="G37" s="61"/>
      <c r="H37" s="61"/>
      <c r="I37" s="61"/>
      <c r="J37" s="61"/>
      <c r="K37" s="58"/>
      <c r="L37" s="58"/>
      <c r="M37" s="58"/>
      <c r="N37" s="52" t="s">
        <v>1155</v>
      </c>
      <c r="O37" s="51">
        <f>E37*O38</f>
        <v>102525.95488496777</v>
      </c>
      <c r="P37" s="51">
        <f>E37*P38</f>
        <v>102525.95488496777</v>
      </c>
      <c r="Q37" s="60">
        <f>E37*Q38</f>
        <v>102525.95488496777</v>
      </c>
      <c r="R37" s="60">
        <f>E37*R38</f>
        <v>102525.95488496777</v>
      </c>
      <c r="S37" s="403">
        <f>SUM(G37:R37)</f>
        <v>410103.81953987107</v>
      </c>
      <c r="U37" s="317"/>
      <c r="V37" s="317"/>
      <c r="W37" s="317"/>
      <c r="X37" s="317"/>
      <c r="Y37" s="317"/>
      <c r="Z37" s="317"/>
      <c r="AA37" s="317"/>
      <c r="AB37" s="317"/>
    </row>
    <row r="38" spans="1:28" ht="15.75" thickTop="1">
      <c r="A38" s="476"/>
      <c r="B38" s="62"/>
      <c r="C38" s="63"/>
      <c r="D38" s="64"/>
      <c r="E38" s="53"/>
      <c r="F38" s="56"/>
      <c r="G38" s="65"/>
      <c r="H38" s="65"/>
      <c r="I38" s="65"/>
      <c r="J38" s="65"/>
      <c r="K38" s="65"/>
      <c r="L38" s="65"/>
      <c r="M38" s="65"/>
      <c r="N38" s="48" t="s">
        <v>1155</v>
      </c>
      <c r="O38" s="57">
        <v>0.25</v>
      </c>
      <c r="P38" s="57">
        <v>0.25</v>
      </c>
      <c r="Q38" s="65">
        <v>0.25</v>
      </c>
      <c r="R38" s="65">
        <v>0.25</v>
      </c>
      <c r="S38" s="403" t="s">
        <v>1155</v>
      </c>
      <c r="U38" s="317"/>
      <c r="V38" s="317"/>
      <c r="W38" s="317"/>
      <c r="X38" s="317"/>
      <c r="Y38" s="317"/>
      <c r="Z38" s="317"/>
      <c r="AA38" s="317"/>
      <c r="AB38" s="317"/>
    </row>
    <row r="39" spans="1:28" ht="15.75" thickBot="1">
      <c r="A39" s="476"/>
      <c r="B39" s="59" t="str">
        <f>RESUMO!B30</f>
        <v>04.01.400</v>
      </c>
      <c r="C39" s="542" t="str">
        <f>RESUMO!C30</f>
        <v>Cobertura e Fechamento Lateral</v>
      </c>
      <c r="D39" s="543"/>
      <c r="E39" s="49">
        <f>RESUMO!D30*1.2026</f>
        <v>218412.64328449999</v>
      </c>
      <c r="F39" s="50">
        <f>E39/E97</f>
        <v>8.5415966696835363E-3</v>
      </c>
      <c r="G39" s="61"/>
      <c r="H39" s="61"/>
      <c r="I39" s="61"/>
      <c r="J39" s="61"/>
      <c r="K39" s="61"/>
      <c r="L39" s="61"/>
      <c r="M39" s="52"/>
      <c r="N39" s="51">
        <f>E39*N40</f>
        <v>109206.32164225</v>
      </c>
      <c r="O39" s="60">
        <f>E39*O40</f>
        <v>109206.32164225</v>
      </c>
      <c r="P39" s="58"/>
      <c r="Q39" s="61"/>
      <c r="R39" s="61"/>
      <c r="S39" s="403">
        <f>SUM(G39:R39)</f>
        <v>218412.64328449999</v>
      </c>
      <c r="U39" s="317"/>
      <c r="V39" s="317"/>
      <c r="W39" s="317"/>
      <c r="X39" s="317"/>
      <c r="Y39" s="317"/>
      <c r="Z39" s="317"/>
      <c r="AA39" s="317"/>
      <c r="AB39" s="317"/>
    </row>
    <row r="40" spans="1:28" ht="15.75" thickTop="1">
      <c r="A40" s="476"/>
      <c r="B40" s="62"/>
      <c r="C40" s="63"/>
      <c r="D40" s="64"/>
      <c r="E40" s="53"/>
      <c r="F40" s="56"/>
      <c r="G40" s="65"/>
      <c r="H40" s="65"/>
      <c r="I40" s="65"/>
      <c r="J40" s="65"/>
      <c r="K40" s="65"/>
      <c r="L40" s="65"/>
      <c r="M40" s="48"/>
      <c r="N40" s="57">
        <v>0.5</v>
      </c>
      <c r="O40" s="48">
        <v>0.5</v>
      </c>
      <c r="P40" s="65"/>
      <c r="Q40" s="65"/>
      <c r="R40" s="65"/>
      <c r="S40" s="403" t="s">
        <v>1155</v>
      </c>
      <c r="U40" s="317"/>
      <c r="V40" s="317"/>
      <c r="W40" s="317"/>
      <c r="X40" s="317"/>
      <c r="Y40" s="317"/>
      <c r="Z40" s="317"/>
      <c r="AA40" s="317"/>
      <c r="AB40" s="317"/>
    </row>
    <row r="41" spans="1:28" ht="15.75" thickBot="1">
      <c r="A41" s="476"/>
      <c r="B41" s="24" t="str">
        <f>RESUMO!B31</f>
        <v>04.01.510</v>
      </c>
      <c r="C41" s="572" t="str">
        <f>RESUMO!C31</f>
        <v>Revestimentos de Pisos</v>
      </c>
      <c r="D41" s="573"/>
      <c r="E41" s="49">
        <f>RESUMO!D31*1.2026</f>
        <v>1437320.646808634</v>
      </c>
      <c r="F41" s="50">
        <f>E41/E97</f>
        <v>5.6210176597039856E-2</v>
      </c>
      <c r="G41" s="61"/>
      <c r="H41" s="61"/>
      <c r="I41" s="61"/>
      <c r="J41" s="61"/>
      <c r="K41" s="61"/>
      <c r="L41" s="51">
        <f>E41*L42</f>
        <v>143732.0646808634</v>
      </c>
      <c r="M41" s="51">
        <f>E41*M42</f>
        <v>143732.0646808634</v>
      </c>
      <c r="N41" s="51">
        <f>E41*N42</f>
        <v>287464.12936172681</v>
      </c>
      <c r="O41" s="51">
        <f>E41*O42</f>
        <v>287464.12936172681</v>
      </c>
      <c r="P41" s="51">
        <f>E41*P42</f>
        <v>287464.12936172681</v>
      </c>
      <c r="Q41" s="51">
        <f>E41*Q42</f>
        <v>287464.12936172681</v>
      </c>
      <c r="R41" s="52"/>
      <c r="S41" s="403">
        <f>SUM(G41:R41)</f>
        <v>1437320.646808634</v>
      </c>
      <c r="U41" s="317"/>
      <c r="V41" s="582" t="s">
        <v>2805</v>
      </c>
      <c r="W41" s="582"/>
      <c r="X41" s="582"/>
      <c r="Y41" s="582"/>
      <c r="Z41" s="582"/>
      <c r="AA41" s="582"/>
      <c r="AB41" s="317"/>
    </row>
    <row r="42" spans="1:28" ht="15.75" thickTop="1">
      <c r="A42" s="476"/>
      <c r="B42" s="24"/>
      <c r="C42" s="89"/>
      <c r="D42" s="90"/>
      <c r="E42" s="53"/>
      <c r="F42" s="56"/>
      <c r="G42" s="65"/>
      <c r="H42" s="65"/>
      <c r="I42" s="65"/>
      <c r="J42" s="65"/>
      <c r="K42" s="65"/>
      <c r="L42" s="57">
        <v>0.1</v>
      </c>
      <c r="M42" s="57">
        <v>0.1</v>
      </c>
      <c r="N42" s="57">
        <v>0.2</v>
      </c>
      <c r="O42" s="57">
        <v>0.2</v>
      </c>
      <c r="P42" s="57">
        <v>0.2</v>
      </c>
      <c r="Q42" s="57">
        <v>0.2</v>
      </c>
      <c r="R42" s="65"/>
      <c r="S42" s="403" t="s">
        <v>1155</v>
      </c>
      <c r="U42" s="317"/>
      <c r="V42" s="317"/>
      <c r="W42" s="317"/>
      <c r="X42" s="317"/>
      <c r="Y42" s="317"/>
      <c r="Z42" s="317"/>
      <c r="AA42" s="317"/>
      <c r="AB42" s="317"/>
    </row>
    <row r="43" spans="1:28" ht="15.75" thickBot="1">
      <c r="A43" s="476"/>
      <c r="B43" s="59" t="str">
        <f>RESUMO!B32</f>
        <v>04.01.530</v>
      </c>
      <c r="C43" s="542" t="str">
        <f>RESUMO!C32</f>
        <v>Revestimentos de Paredes</v>
      </c>
      <c r="D43" s="543"/>
      <c r="E43" s="49">
        <f>RESUMO!D32*1.2026</f>
        <v>576078.6958114634</v>
      </c>
      <c r="F43" s="50">
        <f>E43/E97</f>
        <v>2.2529061484821249E-2</v>
      </c>
      <c r="G43" s="61"/>
      <c r="H43" s="61"/>
      <c r="I43" s="61"/>
      <c r="J43" s="61"/>
      <c r="K43" s="61"/>
      <c r="L43" s="58"/>
      <c r="M43" s="51">
        <f>E43*M44</f>
        <v>57607.86958114634</v>
      </c>
      <c r="N43" s="51">
        <f>E43*N44</f>
        <v>86411.804371719511</v>
      </c>
      <c r="O43" s="51">
        <f>E43*O44</f>
        <v>115215.73916229268</v>
      </c>
      <c r="P43" s="51">
        <f>E43*P44</f>
        <v>144019.67395286585</v>
      </c>
      <c r="Q43" s="51">
        <f>E43*Q44</f>
        <v>144019.67395286585</v>
      </c>
      <c r="R43" s="60">
        <f>E43*R44</f>
        <v>28803.93479057317</v>
      </c>
      <c r="S43" s="403">
        <f>SUM(G43:R43)</f>
        <v>576078.6958114634</v>
      </c>
      <c r="U43" s="317"/>
      <c r="V43" s="317"/>
      <c r="W43" s="317"/>
      <c r="X43" s="317"/>
      <c r="Y43" s="317"/>
      <c r="Z43" s="317"/>
      <c r="AA43" s="317"/>
      <c r="AB43" s="317"/>
    </row>
    <row r="44" spans="1:28" ht="15.75" thickTop="1">
      <c r="A44" s="476"/>
      <c r="B44" s="62"/>
      <c r="C44" s="63"/>
      <c r="D44" s="64"/>
      <c r="E44" s="53"/>
      <c r="F44" s="56"/>
      <c r="G44" s="65"/>
      <c r="H44" s="65"/>
      <c r="I44" s="65"/>
      <c r="J44" s="65"/>
      <c r="K44" s="65"/>
      <c r="L44" s="65"/>
      <c r="M44" s="57">
        <v>0.1</v>
      </c>
      <c r="N44" s="57">
        <v>0.15</v>
      </c>
      <c r="O44" s="57">
        <v>0.2</v>
      </c>
      <c r="P44" s="57">
        <v>0.25</v>
      </c>
      <c r="Q44" s="57">
        <v>0.25</v>
      </c>
      <c r="R44" s="57">
        <v>0.05</v>
      </c>
      <c r="S44" s="403" t="s">
        <v>1155</v>
      </c>
      <c r="U44" s="317"/>
      <c r="V44" s="317"/>
      <c r="W44" s="317"/>
      <c r="X44" s="317"/>
      <c r="Y44" s="317"/>
      <c r="Z44" s="317"/>
      <c r="AA44" s="317"/>
      <c r="AB44" s="317"/>
    </row>
    <row r="45" spans="1:28" ht="15.75" thickBot="1">
      <c r="A45" s="476"/>
      <c r="B45" s="59" t="str">
        <f>RESUMO!B33</f>
        <v>04.01.550</v>
      </c>
      <c r="C45" s="542" t="str">
        <f>RESUMO!C33</f>
        <v>Revestimentos de Forros</v>
      </c>
      <c r="D45" s="543"/>
      <c r="E45" s="49">
        <f>RESUMO!D33*1.2026</f>
        <v>224345.92305075997</v>
      </c>
      <c r="F45" s="47">
        <f>E45/E97</f>
        <v>8.7736330661561199E-3</v>
      </c>
      <c r="G45" s="61"/>
      <c r="H45" s="61"/>
      <c r="I45" s="61"/>
      <c r="J45" s="61"/>
      <c r="K45" s="61"/>
      <c r="L45" s="61"/>
      <c r="M45" s="58"/>
      <c r="N45" s="52"/>
      <c r="O45" s="51">
        <f>E45*O46</f>
        <v>44869.184610151999</v>
      </c>
      <c r="P45" s="51">
        <f>E45*P46</f>
        <v>67303.776915227994</v>
      </c>
      <c r="Q45" s="51">
        <f>E45*Q46</f>
        <v>67303.776915227994</v>
      </c>
      <c r="R45" s="60">
        <f>E45*R46</f>
        <v>44869.184610151999</v>
      </c>
      <c r="S45" s="403">
        <f>SUM(G45:R45)</f>
        <v>224345.92305076</v>
      </c>
      <c r="U45" s="317"/>
      <c r="V45" s="317"/>
      <c r="W45" s="317"/>
      <c r="X45" s="317"/>
      <c r="Y45" s="317"/>
      <c r="Z45" s="317"/>
      <c r="AA45" s="317"/>
      <c r="AB45" s="317"/>
    </row>
    <row r="46" spans="1:28" ht="15.75" thickTop="1">
      <c r="A46" s="476"/>
      <c r="B46" s="62"/>
      <c r="C46" s="63"/>
      <c r="D46" s="64"/>
      <c r="E46" s="23"/>
      <c r="F46" s="47"/>
      <c r="G46" s="65"/>
      <c r="H46" s="65"/>
      <c r="I46" s="65"/>
      <c r="J46" s="65"/>
      <c r="K46" s="65"/>
      <c r="L46" s="65"/>
      <c r="M46" s="65"/>
      <c r="N46" s="48"/>
      <c r="O46" s="57">
        <v>0.2</v>
      </c>
      <c r="P46" s="57">
        <v>0.3</v>
      </c>
      <c r="Q46" s="57">
        <v>0.3</v>
      </c>
      <c r="R46" s="57">
        <v>0.2</v>
      </c>
      <c r="S46" s="403" t="s">
        <v>1155</v>
      </c>
      <c r="U46" s="317"/>
      <c r="V46" s="317"/>
      <c r="W46" s="317"/>
      <c r="X46" s="317"/>
      <c r="Y46" s="317"/>
      <c r="Z46" s="317"/>
      <c r="AA46" s="317"/>
      <c r="AB46" s="317"/>
    </row>
    <row r="47" spans="1:28" ht="15.75" thickBot="1">
      <c r="A47" s="476"/>
      <c r="B47" s="59" t="str">
        <f>RESUMO!B34</f>
        <v>04.01.560</v>
      </c>
      <c r="C47" s="542" t="str">
        <f>RESUMO!C34</f>
        <v>Pinturas</v>
      </c>
      <c r="D47" s="543"/>
      <c r="E47" s="49">
        <f>RESUMO!D34*1.2026</f>
        <v>552851.90014347841</v>
      </c>
      <c r="F47" s="50">
        <f>E47/E97</f>
        <v>2.1620716997333606E-2</v>
      </c>
      <c r="G47" s="61"/>
      <c r="H47" s="61"/>
      <c r="I47" s="61"/>
      <c r="J47" s="61"/>
      <c r="K47" s="61"/>
      <c r="L47" s="61"/>
      <c r="M47" s="61"/>
      <c r="N47" s="51">
        <f>E47*N48</f>
        <v>55285.190014347841</v>
      </c>
      <c r="O47" s="51">
        <f>E47*O48</f>
        <v>82927.785021521762</v>
      </c>
      <c r="P47" s="51">
        <f>E47*P48</f>
        <v>138212.9750358696</v>
      </c>
      <c r="Q47" s="51">
        <f>E47*Q48</f>
        <v>138212.9750358696</v>
      </c>
      <c r="R47" s="60">
        <f>E47*R48</f>
        <v>138212.9750358696</v>
      </c>
      <c r="S47" s="403">
        <f>SUM(G47:R47)</f>
        <v>552851.90014347841</v>
      </c>
      <c r="U47" s="317"/>
      <c r="V47" s="317"/>
      <c r="W47" s="317"/>
      <c r="X47" s="317"/>
      <c r="Y47" s="317"/>
      <c r="Z47" s="317"/>
      <c r="AA47" s="317"/>
      <c r="AB47" s="317"/>
    </row>
    <row r="48" spans="1:28" ht="15.75" thickTop="1">
      <c r="A48" s="476"/>
      <c r="B48" s="62"/>
      <c r="C48" s="63"/>
      <c r="D48" s="64"/>
      <c r="E48" s="53"/>
      <c r="F48" s="56"/>
      <c r="G48" s="65"/>
      <c r="H48" s="65"/>
      <c r="I48" s="65"/>
      <c r="J48" s="65"/>
      <c r="K48" s="65"/>
      <c r="L48" s="65"/>
      <c r="M48" s="65"/>
      <c r="N48" s="57">
        <v>0.1</v>
      </c>
      <c r="O48" s="57">
        <v>0.15</v>
      </c>
      <c r="P48" s="57">
        <v>0.25</v>
      </c>
      <c r="Q48" s="57">
        <v>0.25</v>
      </c>
      <c r="R48" s="57">
        <v>0.25</v>
      </c>
      <c r="S48" s="403" t="s">
        <v>1155</v>
      </c>
      <c r="U48" s="317"/>
      <c r="V48" s="317"/>
      <c r="W48" s="317"/>
      <c r="X48" s="317"/>
      <c r="Y48" s="317"/>
      <c r="Z48" s="317"/>
      <c r="AA48" s="317"/>
      <c r="AB48" s="317"/>
    </row>
    <row r="49" spans="1:28" ht="15.75" thickBot="1">
      <c r="A49" s="476"/>
      <c r="B49" s="59" t="str">
        <f>RESUMO!B35</f>
        <v>04.01.580</v>
      </c>
      <c r="C49" s="542" t="str">
        <f>RESUMO!C35</f>
        <v>Mantas Termo-acústicas</v>
      </c>
      <c r="D49" s="543"/>
      <c r="E49" s="49">
        <f>RESUMO!D35*1.2026</f>
        <v>37132.591358362079</v>
      </c>
      <c r="F49" s="50">
        <f>E49/E97</f>
        <v>1.4521669346319102E-3</v>
      </c>
      <c r="G49" s="61"/>
      <c r="H49" s="61"/>
      <c r="I49" s="61"/>
      <c r="J49" s="61"/>
      <c r="K49" s="61"/>
      <c r="L49" s="61"/>
      <c r="M49" s="61"/>
      <c r="N49" s="58"/>
      <c r="O49" s="58"/>
      <c r="P49" s="51">
        <f>E49*P50</f>
        <v>37132.591358362079</v>
      </c>
      <c r="Q49" s="58"/>
      <c r="R49" s="58"/>
      <c r="S49" s="403">
        <f>SUM(G49:R49)</f>
        <v>37132.591358362079</v>
      </c>
      <c r="U49" s="317"/>
      <c r="V49" s="317"/>
      <c r="W49" s="317"/>
      <c r="X49" s="317"/>
      <c r="Y49" s="317"/>
      <c r="Z49" s="317"/>
      <c r="AA49" s="317"/>
      <c r="AB49" s="317"/>
    </row>
    <row r="50" spans="1:28" ht="15.75" thickTop="1">
      <c r="A50" s="476"/>
      <c r="B50" s="62"/>
      <c r="C50" s="63"/>
      <c r="D50" s="64"/>
      <c r="E50" s="53"/>
      <c r="F50" s="56"/>
      <c r="G50" s="65"/>
      <c r="H50" s="65"/>
      <c r="I50" s="65"/>
      <c r="J50" s="65"/>
      <c r="K50" s="65"/>
      <c r="L50" s="65"/>
      <c r="M50" s="65"/>
      <c r="N50" s="65"/>
      <c r="O50" s="65"/>
      <c r="P50" s="57">
        <v>1</v>
      </c>
      <c r="Q50" s="65"/>
      <c r="R50" s="65"/>
      <c r="S50" s="403" t="s">
        <v>1155</v>
      </c>
      <c r="U50" s="317"/>
      <c r="V50" s="317"/>
      <c r="W50" s="317"/>
      <c r="X50" s="317"/>
      <c r="Y50" s="317"/>
      <c r="Z50" s="317"/>
      <c r="AA50" s="317"/>
      <c r="AB50" s="317"/>
    </row>
    <row r="51" spans="1:28" ht="15.75" thickBot="1">
      <c r="A51" s="476"/>
      <c r="B51" s="59" t="str">
        <f>RESUMO!B36</f>
        <v>04.01.600</v>
      </c>
      <c r="C51" s="542" t="str">
        <f>RESUMO!C36</f>
        <v>Impermeabilizações</v>
      </c>
      <c r="D51" s="543"/>
      <c r="E51" s="49">
        <f>RESUMO!D36*1.2026</f>
        <v>2164295.0022406937</v>
      </c>
      <c r="F51" s="50">
        <f>E51/E97</f>
        <v>8.4640406825128869E-2</v>
      </c>
      <c r="G51" s="61"/>
      <c r="H51" s="61"/>
      <c r="I51" s="61"/>
      <c r="J51" s="61"/>
      <c r="K51" s="61"/>
      <c r="L51" s="51">
        <f>E51*L52</f>
        <v>324644.25033610401</v>
      </c>
      <c r="M51" s="51">
        <f>E51*M52</f>
        <v>324644.25033610401</v>
      </c>
      <c r="N51" s="51">
        <f>E51*N52</f>
        <v>541073.75056017342</v>
      </c>
      <c r="O51" s="51">
        <f>E51*O52</f>
        <v>541073.75056017342</v>
      </c>
      <c r="P51" s="51">
        <f>E51*P52</f>
        <v>432859.00044813874</v>
      </c>
      <c r="Q51" s="61"/>
      <c r="R51" s="61"/>
      <c r="S51" s="403">
        <f>SUM(G51:R51)</f>
        <v>2164295.0022406937</v>
      </c>
      <c r="U51" s="317"/>
      <c r="V51" s="317"/>
      <c r="W51" s="317"/>
      <c r="X51" s="317"/>
      <c r="Y51" s="317"/>
      <c r="Z51" s="317"/>
      <c r="AA51" s="317"/>
      <c r="AB51" s="317"/>
    </row>
    <row r="52" spans="1:28" ht="15.75" thickTop="1">
      <c r="A52" s="476"/>
      <c r="B52" s="62"/>
      <c r="C52" s="63"/>
      <c r="D52" s="64"/>
      <c r="E52" s="53"/>
      <c r="F52" s="56"/>
      <c r="G52" s="65"/>
      <c r="H52" s="65"/>
      <c r="I52" s="65"/>
      <c r="J52" s="65"/>
      <c r="K52" s="65" t="s">
        <v>1155</v>
      </c>
      <c r="L52" s="57">
        <v>0.15</v>
      </c>
      <c r="M52" s="57">
        <v>0.15</v>
      </c>
      <c r="N52" s="57">
        <v>0.25</v>
      </c>
      <c r="O52" s="57">
        <v>0.25</v>
      </c>
      <c r="P52" s="57">
        <v>0.2</v>
      </c>
      <c r="Q52" s="65"/>
      <c r="R52" s="65"/>
      <c r="S52" s="403" t="s">
        <v>1155</v>
      </c>
      <c r="U52" s="317"/>
      <c r="V52" s="317"/>
      <c r="W52" s="317"/>
      <c r="X52" s="317"/>
      <c r="Y52" s="317"/>
      <c r="Z52" s="317"/>
      <c r="AA52" s="317"/>
      <c r="AB52" s="317"/>
    </row>
    <row r="53" spans="1:28" ht="15.75" thickBot="1">
      <c r="A53" s="476"/>
      <c r="B53" s="59" t="str">
        <f>RESUMO!B37</f>
        <v>04.01.700</v>
      </c>
      <c r="C53" s="542" t="str">
        <f>RESUMO!C37</f>
        <v>Acabamentos e arremates</v>
      </c>
      <c r="D53" s="543"/>
      <c r="E53" s="49">
        <f>RESUMO!D37*1.2026</f>
        <v>159796.71239864847</v>
      </c>
      <c r="F53" s="50">
        <f>E53/E97</f>
        <v>6.2492676519314725E-3</v>
      </c>
      <c r="G53" s="61"/>
      <c r="H53" s="61"/>
      <c r="I53" s="61"/>
      <c r="J53" s="61"/>
      <c r="K53" s="61"/>
      <c r="L53" s="51">
        <f>E53*L54</f>
        <v>7989.8356199324235</v>
      </c>
      <c r="M53" s="51">
        <f>E53*M54</f>
        <v>15979.671239864847</v>
      </c>
      <c r="N53" s="51">
        <f>E53*N54</f>
        <v>23969.506859797268</v>
      </c>
      <c r="O53" s="51">
        <f>E53*O54</f>
        <v>31959.342479729694</v>
      </c>
      <c r="P53" s="51">
        <f>E53*P54</f>
        <v>31959.342479729694</v>
      </c>
      <c r="Q53" s="51">
        <f>E53*Q54</f>
        <v>31959.342479729694</v>
      </c>
      <c r="R53" s="60">
        <f>E53*R54</f>
        <v>15979.671239864847</v>
      </c>
      <c r="S53" s="403">
        <f>SUM(G53:R53)</f>
        <v>159796.71239864847</v>
      </c>
      <c r="U53" s="317"/>
      <c r="V53" s="317"/>
      <c r="W53" s="317"/>
      <c r="X53" s="317"/>
      <c r="Y53" s="317"/>
      <c r="Z53" s="317"/>
      <c r="AA53" s="317"/>
      <c r="AB53" s="317"/>
    </row>
    <row r="54" spans="1:28" ht="15.75" thickTop="1">
      <c r="A54" s="476"/>
      <c r="B54" s="24"/>
      <c r="C54" s="89"/>
      <c r="D54" s="90"/>
      <c r="E54" s="53"/>
      <c r="F54" s="56"/>
      <c r="G54" s="65"/>
      <c r="H54" s="65"/>
      <c r="I54" s="65"/>
      <c r="J54" s="65"/>
      <c r="K54" s="65"/>
      <c r="L54" s="57">
        <v>0.05</v>
      </c>
      <c r="M54" s="57">
        <v>0.1</v>
      </c>
      <c r="N54" s="57">
        <v>0.15</v>
      </c>
      <c r="O54" s="57">
        <v>0.2</v>
      </c>
      <c r="P54" s="57">
        <v>0.2</v>
      </c>
      <c r="Q54" s="57">
        <v>0.2</v>
      </c>
      <c r="R54" s="57">
        <v>0.1</v>
      </c>
      <c r="S54" s="403" t="s">
        <v>1155</v>
      </c>
      <c r="U54" s="317"/>
      <c r="V54" s="317"/>
      <c r="W54" s="317"/>
      <c r="X54" s="317"/>
      <c r="Y54" s="317"/>
      <c r="Z54" s="317"/>
      <c r="AA54" s="317"/>
      <c r="AB54" s="317"/>
    </row>
    <row r="55" spans="1:28" ht="15.75" thickBot="1">
      <c r="A55" s="476"/>
      <c r="B55" s="59" t="str">
        <f>RESUMO!B38</f>
        <v>04.01.800</v>
      </c>
      <c r="C55" s="542" t="str">
        <f>RESUMO!C38</f>
        <v>Equipamentos e acessórios</v>
      </c>
      <c r="D55" s="543"/>
      <c r="E55" s="49">
        <f>RESUMO!D38*1.2026</f>
        <v>93212.728532251538</v>
      </c>
      <c r="F55" s="50">
        <f>E55/E97</f>
        <v>3.6453271185684054E-3</v>
      </c>
      <c r="G55" s="61"/>
      <c r="H55" s="61"/>
      <c r="I55" s="61"/>
      <c r="J55" s="61"/>
      <c r="K55" s="61"/>
      <c r="L55" s="61"/>
      <c r="M55" s="51">
        <f>E55*M56</f>
        <v>18642.54570645031</v>
      </c>
      <c r="N55" s="51">
        <f>E55*N56</f>
        <v>27963.818559675459</v>
      </c>
      <c r="O55" s="51">
        <f>E55*O56</f>
        <v>27963.818559675459</v>
      </c>
      <c r="P55" s="51">
        <f>E55*P56</f>
        <v>18642.54570645031</v>
      </c>
      <c r="Q55" s="52" t="s">
        <v>1155</v>
      </c>
      <c r="R55" s="52"/>
      <c r="S55" s="403">
        <f>SUM(G55:R55)</f>
        <v>93212.728532251538</v>
      </c>
      <c r="U55" s="317"/>
      <c r="V55" s="317"/>
      <c r="W55" s="317"/>
      <c r="X55" s="317"/>
      <c r="Y55" s="317"/>
      <c r="Z55" s="317"/>
      <c r="AA55" s="317"/>
      <c r="AB55" s="317"/>
    </row>
    <row r="56" spans="1:28" ht="15.75" thickTop="1">
      <c r="A56" s="476"/>
      <c r="B56" s="62"/>
      <c r="C56" s="63"/>
      <c r="D56" s="64"/>
      <c r="E56" s="53"/>
      <c r="F56" s="56"/>
      <c r="G56" s="65"/>
      <c r="H56" s="65"/>
      <c r="I56" s="65"/>
      <c r="J56" s="65"/>
      <c r="K56" s="65"/>
      <c r="L56" s="65"/>
      <c r="M56" s="57">
        <v>0.2</v>
      </c>
      <c r="N56" s="57">
        <v>0.3</v>
      </c>
      <c r="O56" s="57">
        <v>0.3</v>
      </c>
      <c r="P56" s="57">
        <v>0.2</v>
      </c>
      <c r="Q56" s="48" t="s">
        <v>1155</v>
      </c>
      <c r="R56" s="48"/>
      <c r="S56" s="403" t="s">
        <v>1155</v>
      </c>
      <c r="U56" s="317"/>
      <c r="V56" s="317"/>
      <c r="W56" s="317"/>
      <c r="X56" s="317"/>
      <c r="Y56" s="317"/>
      <c r="Z56" s="317"/>
      <c r="AA56" s="317"/>
      <c r="AB56" s="317"/>
    </row>
    <row r="57" spans="1:28" ht="15.75" thickBot="1">
      <c r="A57" s="476"/>
      <c r="B57" s="59" t="str">
        <f>RESUMO!B39</f>
        <v>04.02.000</v>
      </c>
      <c r="C57" s="542" t="str">
        <f>RESUMO!C39</f>
        <v>Comunicação visual</v>
      </c>
      <c r="D57" s="543"/>
      <c r="E57" s="49">
        <f>RESUMO!D39*1.2026</f>
        <v>7725.9667238599986</v>
      </c>
      <c r="F57" s="50">
        <f>E57/E97</f>
        <v>3.0214410047978949E-4</v>
      </c>
      <c r="G57" s="65"/>
      <c r="H57" s="65"/>
      <c r="I57" s="65"/>
      <c r="J57" s="65"/>
      <c r="K57" s="65"/>
      <c r="L57" s="65"/>
      <c r="M57" s="65"/>
      <c r="N57" s="65"/>
      <c r="O57" s="65"/>
      <c r="P57" s="65"/>
      <c r="Q57" s="52" t="s">
        <v>1155</v>
      </c>
      <c r="R57" s="110">
        <f>E57*R58</f>
        <v>7725.9667238599986</v>
      </c>
      <c r="S57" s="403">
        <f>SUM(G57:R57)</f>
        <v>7725.9667238599986</v>
      </c>
      <c r="U57" s="317"/>
      <c r="V57" s="317"/>
      <c r="W57" s="317"/>
      <c r="X57" s="317"/>
      <c r="Y57" s="317"/>
      <c r="Z57" s="317"/>
      <c r="AA57" s="317"/>
      <c r="AB57" s="317"/>
    </row>
    <row r="58" spans="1:28" ht="15.75" thickTop="1">
      <c r="A58" s="476"/>
      <c r="B58" s="62"/>
      <c r="C58" s="63"/>
      <c r="D58" s="64"/>
      <c r="E58" s="23"/>
      <c r="F58" s="47"/>
      <c r="G58" s="65"/>
      <c r="H58" s="65"/>
      <c r="I58" s="65"/>
      <c r="J58" s="65"/>
      <c r="K58" s="65"/>
      <c r="L58" s="65"/>
      <c r="M58" s="65"/>
      <c r="N58" s="65"/>
      <c r="O58" s="65"/>
      <c r="P58" s="65"/>
      <c r="Q58" s="48" t="s">
        <v>1155</v>
      </c>
      <c r="R58" s="70">
        <v>1</v>
      </c>
      <c r="S58" s="403" t="s">
        <v>1155</v>
      </c>
      <c r="U58" s="317"/>
      <c r="V58" s="317"/>
      <c r="W58" s="317"/>
      <c r="X58" s="317"/>
      <c r="Y58" s="317"/>
      <c r="Z58" s="317"/>
      <c r="AA58" s="317"/>
      <c r="AB58" s="317"/>
    </row>
    <row r="59" spans="1:28" ht="15.75" thickBot="1">
      <c r="A59" s="476"/>
      <c r="B59" s="59" t="str">
        <f>RESUMO!B40</f>
        <v>04.04.000</v>
      </c>
      <c r="C59" s="542" t="str">
        <f>RESUMO!C40</f>
        <v>Paisagismo</v>
      </c>
      <c r="D59" s="543"/>
      <c r="E59" s="49">
        <f>RESUMO!D40*1.2026</f>
        <v>173824.19640837997</v>
      </c>
      <c r="F59" s="50">
        <f>E59/E97</f>
        <v>6.7978490385203908E-3</v>
      </c>
      <c r="G59" s="61"/>
      <c r="H59" s="61"/>
      <c r="I59" s="61"/>
      <c r="J59" s="61"/>
      <c r="K59" s="61"/>
      <c r="L59" s="61"/>
      <c r="M59" s="61"/>
      <c r="N59" s="61"/>
      <c r="O59" s="61"/>
      <c r="P59" s="52"/>
      <c r="Q59" s="52"/>
      <c r="R59" s="110">
        <f>E59*R60</f>
        <v>173824.19640837997</v>
      </c>
      <c r="S59" s="403">
        <f>SUM(G59:R59)</f>
        <v>173824.19640837997</v>
      </c>
      <c r="U59" s="317"/>
      <c r="V59" s="317"/>
      <c r="W59" s="317"/>
      <c r="X59" s="317"/>
      <c r="Y59" s="317"/>
      <c r="Z59" s="317"/>
      <c r="AA59" s="317"/>
      <c r="AB59" s="317"/>
    </row>
    <row r="60" spans="1:28" ht="15.75" thickTop="1">
      <c r="A60" s="476"/>
      <c r="B60" s="62"/>
      <c r="C60" s="63"/>
      <c r="D60" s="64"/>
      <c r="E60" s="53"/>
      <c r="F60" s="56"/>
      <c r="G60" s="65"/>
      <c r="H60" s="65"/>
      <c r="I60" s="65"/>
      <c r="J60" s="65"/>
      <c r="K60" s="65"/>
      <c r="L60" s="65"/>
      <c r="M60" s="65"/>
      <c r="N60" s="65"/>
      <c r="O60" s="65"/>
      <c r="P60" s="48"/>
      <c r="Q60" s="48"/>
      <c r="R60" s="70">
        <v>1</v>
      </c>
      <c r="S60" s="403" t="s">
        <v>1155</v>
      </c>
      <c r="U60" s="317"/>
      <c r="V60" s="317"/>
      <c r="W60" s="317"/>
      <c r="X60" s="317"/>
      <c r="Y60" s="317"/>
      <c r="Z60" s="317"/>
      <c r="AA60" s="317"/>
      <c r="AB60" s="317"/>
    </row>
    <row r="61" spans="1:28" ht="15.75" thickBot="1">
      <c r="A61" s="476"/>
      <c r="B61" s="59" t="str">
        <f>RESUMO!B41</f>
        <v>04.05.000</v>
      </c>
      <c r="C61" s="542" t="str">
        <f>RESUMO!C41</f>
        <v>Pavimentação</v>
      </c>
      <c r="D61" s="543"/>
      <c r="E61" s="49">
        <f>RESUMO!D41*1.2026</f>
        <v>441071.70889243251</v>
      </c>
      <c r="F61" s="50">
        <f>E61/E97</f>
        <v>1.724926077131814E-2</v>
      </c>
      <c r="G61" s="61"/>
      <c r="H61" s="61"/>
      <c r="I61" s="61"/>
      <c r="J61" s="61"/>
      <c r="K61" s="61"/>
      <c r="L61" s="61"/>
      <c r="M61" s="61"/>
      <c r="N61" s="61"/>
      <c r="O61" s="52"/>
      <c r="P61" s="52"/>
      <c r="Q61" s="68">
        <f>E61*Q62</f>
        <v>176428.683556973</v>
      </c>
      <c r="R61" s="110">
        <f>E61*R62</f>
        <v>264643.0253354595</v>
      </c>
      <c r="S61" s="403">
        <f>SUM(G61:R61)</f>
        <v>441071.70889243251</v>
      </c>
      <c r="U61" s="317"/>
      <c r="V61" s="317"/>
      <c r="W61" s="317"/>
      <c r="X61" s="317"/>
      <c r="Y61" s="317"/>
      <c r="Z61" s="317"/>
      <c r="AA61" s="317"/>
      <c r="AB61" s="317"/>
    </row>
    <row r="62" spans="1:28" ht="15.75" thickTop="1">
      <c r="A62" s="476"/>
      <c r="B62" s="62" t="s">
        <v>1155</v>
      </c>
      <c r="C62" s="54"/>
      <c r="D62" s="55"/>
      <c r="E62" s="53"/>
      <c r="F62" s="56"/>
      <c r="G62" s="65"/>
      <c r="H62" s="65"/>
      <c r="I62" s="65"/>
      <c r="J62" s="65"/>
      <c r="K62" s="65"/>
      <c r="L62" s="65"/>
      <c r="M62" s="65"/>
      <c r="N62" s="65"/>
      <c r="O62" s="48"/>
      <c r="P62" s="48"/>
      <c r="Q62" s="69">
        <v>0.4</v>
      </c>
      <c r="R62" s="70">
        <v>0.6</v>
      </c>
      <c r="S62" s="403" t="s">
        <v>1155</v>
      </c>
      <c r="U62" s="317"/>
      <c r="V62" s="317"/>
      <c r="W62" s="317"/>
      <c r="X62" s="317"/>
      <c r="Y62" s="317"/>
      <c r="Z62" s="317"/>
      <c r="AA62" s="317"/>
      <c r="AB62" s="317"/>
    </row>
    <row r="63" spans="1:28" ht="15.75" thickBot="1">
      <c r="A63" s="476"/>
      <c r="B63" s="59" t="str">
        <f>RESUMO!B42</f>
        <v>04.06.000</v>
      </c>
      <c r="C63" s="542" t="str">
        <f>RESUMO!C42</f>
        <v>Sistema Viário</v>
      </c>
      <c r="D63" s="543"/>
      <c r="E63" s="49">
        <f>RESUMO!D42*1.2026</f>
        <v>5775.1620385199994</v>
      </c>
      <c r="F63" s="50">
        <f>E63/E97</f>
        <v>2.2585278989939285E-4</v>
      </c>
      <c r="G63" s="61"/>
      <c r="H63" s="61"/>
      <c r="I63" s="61"/>
      <c r="J63" s="61"/>
      <c r="K63" s="61"/>
      <c r="L63" s="61"/>
      <c r="M63" s="61"/>
      <c r="N63" s="61"/>
      <c r="O63" s="58"/>
      <c r="P63" s="58"/>
      <c r="Q63" s="58"/>
      <c r="R63" s="110">
        <f>E63*R64</f>
        <v>5775.1620385199994</v>
      </c>
      <c r="S63" s="403">
        <f>SUM(G63:R63)</f>
        <v>5775.1620385199994</v>
      </c>
      <c r="U63" s="317"/>
      <c r="V63" s="317"/>
      <c r="W63" s="317"/>
      <c r="X63" s="317"/>
      <c r="Y63" s="317"/>
      <c r="Z63" s="317"/>
      <c r="AA63" s="317"/>
      <c r="AB63" s="317"/>
    </row>
    <row r="64" spans="1:28" ht="15.75" thickTop="1">
      <c r="A64" s="476"/>
      <c r="B64" s="23"/>
      <c r="C64" s="120"/>
      <c r="D64" s="121"/>
      <c r="E64" s="53"/>
      <c r="F64" s="56"/>
      <c r="G64" s="65"/>
      <c r="H64" s="65"/>
      <c r="I64" s="65"/>
      <c r="J64" s="65"/>
      <c r="K64" s="65"/>
      <c r="L64" s="65"/>
      <c r="M64" s="65"/>
      <c r="N64" s="65"/>
      <c r="O64" s="65"/>
      <c r="P64" s="65"/>
      <c r="Q64" s="65"/>
      <c r="R64" s="70">
        <v>1</v>
      </c>
      <c r="S64" s="403" t="s">
        <v>1155</v>
      </c>
      <c r="U64" s="317"/>
      <c r="V64" s="317"/>
      <c r="W64" s="317"/>
      <c r="X64" s="317"/>
      <c r="Y64" s="317"/>
      <c r="Z64" s="317"/>
      <c r="AA64" s="317"/>
      <c r="AB64" s="317"/>
    </row>
    <row r="65" spans="1:28">
      <c r="A65" s="476"/>
      <c r="B65" s="128" t="str">
        <f>RESUMO!B43</f>
        <v>05.00.000</v>
      </c>
      <c r="C65" s="578" t="str">
        <f>RESUMO!C43</f>
        <v xml:space="preserve">INSTALAÇÕES HIDRÁULICAS E SANITÁRIAS </v>
      </c>
      <c r="D65" s="543"/>
      <c r="E65" s="23" t="s">
        <v>1155</v>
      </c>
      <c r="F65" s="47" t="s">
        <v>1155</v>
      </c>
      <c r="G65" s="61"/>
      <c r="H65" s="61"/>
      <c r="I65" s="61"/>
      <c r="J65" s="61"/>
      <c r="K65" s="61"/>
      <c r="L65" s="61"/>
      <c r="M65" s="61"/>
      <c r="N65" s="61"/>
      <c r="O65" s="61"/>
      <c r="P65" s="61"/>
      <c r="Q65" s="61"/>
      <c r="R65" s="61"/>
      <c r="S65" s="403" t="s">
        <v>1155</v>
      </c>
      <c r="U65" s="317"/>
      <c r="V65" s="317"/>
      <c r="W65" s="317"/>
      <c r="X65" s="317"/>
      <c r="Y65" s="317"/>
      <c r="Z65" s="317"/>
      <c r="AA65" s="317"/>
      <c r="AB65" s="317"/>
    </row>
    <row r="66" spans="1:28" ht="15.75" thickBot="1">
      <c r="A66" s="476"/>
      <c r="B66" s="59" t="str">
        <f>RESUMO!B44</f>
        <v>05.01.000</v>
      </c>
      <c r="C66" s="116" t="str">
        <f>RESUMO!C44</f>
        <v>Água Fria</v>
      </c>
      <c r="D66" s="117"/>
      <c r="E66" s="49">
        <f>RESUMO!D44*1.2026</f>
        <v>34641.402013739396</v>
      </c>
      <c r="F66" s="50">
        <f>E66/E97</f>
        <v>1.3547424710587874E-3</v>
      </c>
      <c r="G66" s="61"/>
      <c r="H66" s="61"/>
      <c r="I66" s="71"/>
      <c r="J66" s="71"/>
      <c r="K66" s="60">
        <f>E66*K67</f>
        <v>3464.1402013739398</v>
      </c>
      <c r="L66" s="60">
        <f>E66*L67</f>
        <v>5196.2103020609093</v>
      </c>
      <c r="M66" s="60">
        <f>E66*M67</f>
        <v>5196.2103020609093</v>
      </c>
      <c r="N66" s="60">
        <f>E66*N67</f>
        <v>5196.2103020609093</v>
      </c>
      <c r="O66" s="60">
        <f>E66*O67</f>
        <v>6928.2804027478796</v>
      </c>
      <c r="P66" s="60">
        <f>E66*P67</f>
        <v>6928.2804027478796</v>
      </c>
      <c r="Q66" s="60">
        <f>E66*Q67</f>
        <v>1732.0701006869699</v>
      </c>
      <c r="R66" s="61"/>
      <c r="S66" s="403">
        <f>SUM(G66:R66)</f>
        <v>34641.402013739396</v>
      </c>
      <c r="U66" s="317"/>
      <c r="V66" s="317"/>
      <c r="W66" s="317"/>
      <c r="X66" s="317"/>
      <c r="Y66" s="317"/>
      <c r="Z66" s="317"/>
      <c r="AA66" s="317"/>
      <c r="AB66" s="317"/>
    </row>
    <row r="67" spans="1:28" ht="15.75" thickTop="1">
      <c r="A67" s="476"/>
      <c r="B67" s="62"/>
      <c r="C67" s="63"/>
      <c r="D67" s="64"/>
      <c r="E67" s="23"/>
      <c r="F67" s="47"/>
      <c r="G67" s="61"/>
      <c r="H67" s="61"/>
      <c r="I67" s="71"/>
      <c r="J67" s="71"/>
      <c r="K67" s="48">
        <v>0.1</v>
      </c>
      <c r="L67" s="48">
        <v>0.15</v>
      </c>
      <c r="M67" s="48">
        <v>0.15</v>
      </c>
      <c r="N67" s="48">
        <v>0.15</v>
      </c>
      <c r="O67" s="48">
        <v>0.2</v>
      </c>
      <c r="P67" s="48">
        <v>0.2</v>
      </c>
      <c r="Q67" s="48">
        <v>0.05</v>
      </c>
      <c r="R67" s="61"/>
      <c r="S67" s="403" t="s">
        <v>1155</v>
      </c>
      <c r="U67" s="317"/>
      <c r="V67" s="317"/>
      <c r="W67" s="317"/>
      <c r="X67" s="317"/>
      <c r="Y67" s="317"/>
      <c r="Z67" s="317"/>
      <c r="AA67" s="317"/>
      <c r="AB67" s="317"/>
    </row>
    <row r="68" spans="1:28" ht="15.75" thickBot="1">
      <c r="A68" s="476"/>
      <c r="B68" s="59" t="str">
        <f>RESUMO!B45</f>
        <v>05.01.500</v>
      </c>
      <c r="C68" s="116" t="str">
        <f>RESUMO!C45</f>
        <v>Aparelhos e acessórios sanitários</v>
      </c>
      <c r="D68" s="117"/>
      <c r="E68" s="49">
        <f>RESUMO!D45*1.2026</f>
        <v>140439.91623149504</v>
      </c>
      <c r="F68" s="50">
        <f>E68/E97</f>
        <v>5.4922695991139227E-3</v>
      </c>
      <c r="G68" s="61"/>
      <c r="H68" s="61"/>
      <c r="I68" s="61"/>
      <c r="J68" s="61"/>
      <c r="K68" s="61"/>
      <c r="L68" s="61"/>
      <c r="M68" s="61"/>
      <c r="N68" s="61"/>
      <c r="O68" s="52"/>
      <c r="P68" s="60">
        <f>E68*P69</f>
        <v>42131.97486944851</v>
      </c>
      <c r="Q68" s="60">
        <f>E68*Q69</f>
        <v>42131.97486944851</v>
      </c>
      <c r="R68" s="60">
        <f>E68*R69</f>
        <v>56175.966492598018</v>
      </c>
      <c r="S68" s="403">
        <f>SUM(G68:R68)</f>
        <v>140439.91623149504</v>
      </c>
      <c r="U68" s="317"/>
      <c r="V68" s="317"/>
      <c r="W68" s="317"/>
      <c r="X68" s="317"/>
      <c r="Y68" s="317"/>
      <c r="Z68" s="317"/>
      <c r="AA68" s="317"/>
      <c r="AB68" s="317"/>
    </row>
    <row r="69" spans="1:28" ht="15.75" thickTop="1">
      <c r="A69" s="476"/>
      <c r="B69" s="62"/>
      <c r="C69" s="63"/>
      <c r="D69" s="64"/>
      <c r="E69" s="53"/>
      <c r="F69" s="56"/>
      <c r="G69" s="65"/>
      <c r="H69" s="65"/>
      <c r="I69" s="65"/>
      <c r="J69" s="65"/>
      <c r="K69" s="65"/>
      <c r="L69" s="65"/>
      <c r="M69" s="65"/>
      <c r="N69" s="65"/>
      <c r="O69" s="48"/>
      <c r="P69" s="48">
        <v>0.3</v>
      </c>
      <c r="Q69" s="48">
        <v>0.3</v>
      </c>
      <c r="R69" s="48">
        <v>0.4</v>
      </c>
      <c r="S69" s="403" t="s">
        <v>1155</v>
      </c>
      <c r="U69" s="317"/>
      <c r="V69" s="317"/>
      <c r="W69" s="317"/>
      <c r="X69" s="317"/>
      <c r="Y69" s="317"/>
      <c r="Z69" s="317"/>
      <c r="AA69" s="317"/>
      <c r="AB69" s="317"/>
    </row>
    <row r="70" spans="1:28" ht="15.75" thickBot="1">
      <c r="A70" s="476"/>
      <c r="B70" s="59" t="str">
        <f>RESUMO!B46</f>
        <v>05.03.000</v>
      </c>
      <c r="C70" s="116" t="str">
        <f>RESUMO!C46</f>
        <v>Drenagem de Águas Pluviais</v>
      </c>
      <c r="D70" s="117"/>
      <c r="E70" s="49">
        <f>RESUMO!D46*1.2026</f>
        <v>568474.88371783611</v>
      </c>
      <c r="F70" s="50">
        <f>E70/E97</f>
        <v>2.2231694560090498E-2</v>
      </c>
      <c r="G70" s="61"/>
      <c r="H70" s="61"/>
      <c r="I70" s="61"/>
      <c r="J70" s="61"/>
      <c r="K70" s="61"/>
      <c r="L70" s="61"/>
      <c r="M70" s="61"/>
      <c r="N70" s="60">
        <f>E70*N71</f>
        <v>85271.232557675408</v>
      </c>
      <c r="O70" s="60">
        <f>E70*O71</f>
        <v>85271.232557675408</v>
      </c>
      <c r="P70" s="60">
        <f>E70*P71</f>
        <v>170542.46511535082</v>
      </c>
      <c r="Q70" s="60">
        <f>E70*Q71</f>
        <v>170542.46511535082</v>
      </c>
      <c r="R70" s="60">
        <f>E70*R71</f>
        <v>56847.488371783613</v>
      </c>
      <c r="S70" s="403">
        <f>SUM(G70:R70)</f>
        <v>568474.88371783611</v>
      </c>
      <c r="U70" s="317"/>
      <c r="V70" s="317"/>
      <c r="W70" s="317"/>
      <c r="X70" s="317"/>
      <c r="Y70" s="317"/>
      <c r="Z70" s="317"/>
      <c r="AA70" s="317"/>
      <c r="AB70" s="317"/>
    </row>
    <row r="71" spans="1:28" ht="15.75" thickTop="1">
      <c r="A71" s="476"/>
      <c r="B71" s="62"/>
      <c r="C71" s="63"/>
      <c r="D71" s="64"/>
      <c r="E71" s="53"/>
      <c r="F71" s="56"/>
      <c r="G71" s="65"/>
      <c r="H71" s="65"/>
      <c r="I71" s="65"/>
      <c r="J71" s="65"/>
      <c r="K71" s="65"/>
      <c r="L71" s="65"/>
      <c r="M71" s="65"/>
      <c r="N71" s="48">
        <v>0.15</v>
      </c>
      <c r="O71" s="48">
        <v>0.15</v>
      </c>
      <c r="P71" s="48">
        <v>0.3</v>
      </c>
      <c r="Q71" s="48">
        <v>0.3</v>
      </c>
      <c r="R71" s="48">
        <v>0.1</v>
      </c>
      <c r="S71" s="403" t="s">
        <v>1155</v>
      </c>
      <c r="U71" s="317"/>
      <c r="V71" s="317"/>
      <c r="W71" s="317"/>
      <c r="X71" s="317"/>
      <c r="Y71" s="317"/>
      <c r="Z71" s="317"/>
      <c r="AA71" s="317"/>
      <c r="AB71" s="317"/>
    </row>
    <row r="72" spans="1:28" ht="15.75" thickBot="1">
      <c r="A72" s="476"/>
      <c r="B72" s="24" t="str">
        <f>RESUMO!B47</f>
        <v>05.04.000</v>
      </c>
      <c r="C72" s="118" t="str">
        <f>RESUMO!C47</f>
        <v>Esgotos Sanitários</v>
      </c>
      <c r="D72" s="119"/>
      <c r="E72" s="49">
        <f>RESUMO!D47*1.2026</f>
        <v>157411.73798552982</v>
      </c>
      <c r="F72" s="50">
        <f>E72/E97</f>
        <v>6.1559970005716103E-3</v>
      </c>
      <c r="G72" s="61"/>
      <c r="H72" s="61"/>
      <c r="I72" s="61"/>
      <c r="J72" s="61"/>
      <c r="K72" s="60">
        <f>E72*K73</f>
        <v>7870.5868992764917</v>
      </c>
      <c r="L72" s="60">
        <f>E72*L73</f>
        <v>23611.760697829472</v>
      </c>
      <c r="M72" s="60">
        <f>E72*M73</f>
        <v>23611.760697829472</v>
      </c>
      <c r="N72" s="60">
        <f>E72*N73</f>
        <v>23611.760697829472</v>
      </c>
      <c r="O72" s="60">
        <f>E72*O73</f>
        <v>23611.760697829472</v>
      </c>
      <c r="P72" s="60">
        <f>E72*P73</f>
        <v>23611.760697829472</v>
      </c>
      <c r="Q72" s="60">
        <f>E72*Q73</f>
        <v>23611.760697829472</v>
      </c>
      <c r="R72" s="60">
        <f>E72*R73</f>
        <v>7870.5868992764917</v>
      </c>
      <c r="S72" s="403">
        <f>SUM(G72:R72)</f>
        <v>157411.73798552985</v>
      </c>
      <c r="U72" s="317"/>
      <c r="V72" s="317"/>
      <c r="W72" s="317"/>
      <c r="X72" s="317"/>
      <c r="Y72" s="317"/>
      <c r="Z72" s="317"/>
      <c r="AA72" s="317"/>
      <c r="AB72" s="317"/>
    </row>
    <row r="73" spans="1:28" ht="15.75" thickTop="1">
      <c r="A73" s="476"/>
      <c r="B73" s="24"/>
      <c r="C73" s="118"/>
      <c r="D73" s="119"/>
      <c r="E73" s="53"/>
      <c r="F73" s="56"/>
      <c r="G73" s="65"/>
      <c r="H73" s="65"/>
      <c r="I73" s="65"/>
      <c r="J73" s="65"/>
      <c r="K73" s="48">
        <v>0.05</v>
      </c>
      <c r="L73" s="48">
        <v>0.15</v>
      </c>
      <c r="M73" s="48">
        <v>0.15</v>
      </c>
      <c r="N73" s="48">
        <v>0.15</v>
      </c>
      <c r="O73" s="48">
        <v>0.15</v>
      </c>
      <c r="P73" s="48">
        <v>0.15</v>
      </c>
      <c r="Q73" s="48">
        <v>0.15</v>
      </c>
      <c r="R73" s="48">
        <v>0.05</v>
      </c>
      <c r="S73" s="403" t="s">
        <v>1155</v>
      </c>
      <c r="U73" s="317"/>
      <c r="V73" s="317"/>
      <c r="W73" s="317"/>
      <c r="X73" s="317"/>
      <c r="Y73" s="317"/>
      <c r="Z73" s="317"/>
      <c r="AA73" s="317"/>
      <c r="AB73" s="317"/>
    </row>
    <row r="74" spans="1:28">
      <c r="A74" s="476"/>
      <c r="B74" s="128" t="str">
        <f>RESUMO!B48</f>
        <v>06.00.000</v>
      </c>
      <c r="C74" s="129" t="str">
        <f>RESUMO!C48</f>
        <v>INSTALAÇÕES ELÉTRICAS E ELETRÔNICAS</v>
      </c>
      <c r="D74" s="117"/>
      <c r="E74" s="23" t="s">
        <v>1155</v>
      </c>
      <c r="F74" s="47" t="s">
        <v>1155</v>
      </c>
      <c r="G74" s="61"/>
      <c r="H74" s="61"/>
      <c r="I74" s="61"/>
      <c r="J74" s="61"/>
      <c r="K74" s="61"/>
      <c r="L74" s="61"/>
      <c r="M74" s="61"/>
      <c r="N74" s="61"/>
      <c r="O74" s="61"/>
      <c r="P74" s="61"/>
      <c r="Q74" s="61"/>
      <c r="R74" s="61"/>
      <c r="S74" s="403" t="s">
        <v>1155</v>
      </c>
      <c r="U74" s="317"/>
      <c r="V74" s="317"/>
      <c r="W74" s="317"/>
      <c r="X74" s="317"/>
      <c r="Y74" s="317"/>
      <c r="Z74" s="317"/>
      <c r="AA74" s="317"/>
      <c r="AB74" s="317"/>
    </row>
    <row r="75" spans="1:28" ht="15.75" thickBot="1">
      <c r="A75" s="476"/>
      <c r="B75" s="59" t="str">
        <f>RESUMO!B49</f>
        <v>06.01.000</v>
      </c>
      <c r="C75" s="220" t="str">
        <f>RESUMO!C49</f>
        <v>Instalações Elétricas</v>
      </c>
      <c r="D75" s="122"/>
      <c r="E75" s="49">
        <f>RESUMO!D49*1.2026</f>
        <v>757072.76642378489</v>
      </c>
      <c r="F75" s="50">
        <f>E75/E97</f>
        <v>2.9607307173926851E-2</v>
      </c>
      <c r="G75" s="61"/>
      <c r="H75" s="61"/>
      <c r="I75" s="61"/>
      <c r="J75" s="61"/>
      <c r="K75" s="61"/>
      <c r="L75" s="61"/>
      <c r="M75" s="60">
        <f>E75*M76</f>
        <v>75707.276642378492</v>
      </c>
      <c r="N75" s="60">
        <f>E75*N76</f>
        <v>75707.276642378492</v>
      </c>
      <c r="O75" s="60">
        <f>E75*O76</f>
        <v>75707.276642378492</v>
      </c>
      <c r="P75" s="60">
        <f>E75*P76</f>
        <v>151414.55328475698</v>
      </c>
      <c r="Q75" s="60">
        <f>E75*Q76</f>
        <v>151414.55328475698</v>
      </c>
      <c r="R75" s="60">
        <f>E75*R76</f>
        <v>227121.82992713546</v>
      </c>
      <c r="S75" s="403">
        <f>SUM(G75:R75)</f>
        <v>757072.76642378489</v>
      </c>
      <c r="U75" s="317"/>
      <c r="V75" s="317"/>
      <c r="W75" s="317"/>
      <c r="X75" s="317"/>
      <c r="Y75" s="317"/>
      <c r="Z75" s="317"/>
      <c r="AA75" s="317"/>
      <c r="AB75" s="317"/>
    </row>
    <row r="76" spans="1:28" ht="15.75" thickTop="1">
      <c r="A76" s="476"/>
      <c r="B76" s="62"/>
      <c r="C76" s="123"/>
      <c r="D76" s="124"/>
      <c r="E76" s="53"/>
      <c r="F76" s="56"/>
      <c r="G76" s="65"/>
      <c r="H76" s="65"/>
      <c r="I76" s="65"/>
      <c r="J76" s="65"/>
      <c r="K76" s="65"/>
      <c r="L76" s="65"/>
      <c r="M76" s="48">
        <v>0.1</v>
      </c>
      <c r="N76" s="48">
        <v>0.1</v>
      </c>
      <c r="O76" s="48">
        <v>0.1</v>
      </c>
      <c r="P76" s="48">
        <v>0.2</v>
      </c>
      <c r="Q76" s="48">
        <v>0.2</v>
      </c>
      <c r="R76" s="48">
        <v>0.3</v>
      </c>
      <c r="S76" s="403" t="s">
        <v>1155</v>
      </c>
      <c r="U76" s="317"/>
      <c r="V76" s="317"/>
      <c r="W76" s="317"/>
      <c r="X76" s="317"/>
      <c r="Y76" s="317"/>
      <c r="Z76" s="317"/>
      <c r="AA76" s="317"/>
      <c r="AB76" s="317"/>
    </row>
    <row r="77" spans="1:28" ht="15.75" thickBot="1">
      <c r="A77" s="476"/>
      <c r="B77" s="24" t="str">
        <f>RESUMO!B50</f>
        <v>06.01.400</v>
      </c>
      <c r="C77" s="116" t="str">
        <f>RESUMO!C50</f>
        <v>Iluminação e Tomadas</v>
      </c>
      <c r="D77" s="125"/>
      <c r="E77" s="49">
        <f>RESUMO!D50*1.2026</f>
        <v>293964.13327400002</v>
      </c>
      <c r="F77" s="50">
        <f>E77/E97</f>
        <v>1.1496234943271701E-2</v>
      </c>
      <c r="G77" s="61"/>
      <c r="H77" s="61"/>
      <c r="I77" s="61"/>
      <c r="J77" s="61"/>
      <c r="K77" s="61"/>
      <c r="L77" s="61"/>
      <c r="M77" s="61"/>
      <c r="N77" s="61"/>
      <c r="O77" s="52"/>
      <c r="P77" s="52"/>
      <c r="Q77" s="60">
        <f>E77*Q78</f>
        <v>146982.06663700001</v>
      </c>
      <c r="R77" s="60">
        <f>E77*R78</f>
        <v>146982.06663700001</v>
      </c>
      <c r="S77" s="403">
        <f>SUM(G77:R77)</f>
        <v>293964.13327400002</v>
      </c>
      <c r="U77" s="317"/>
      <c r="V77" s="317"/>
      <c r="W77" s="317"/>
      <c r="X77" s="317"/>
      <c r="Y77" s="317"/>
      <c r="Z77" s="317"/>
      <c r="AA77" s="317"/>
      <c r="AB77" s="317"/>
    </row>
    <row r="78" spans="1:28" ht="15.75" thickTop="1">
      <c r="A78" s="476"/>
      <c r="B78" s="24"/>
      <c r="C78" s="89"/>
      <c r="D78" s="90"/>
      <c r="E78" s="53"/>
      <c r="F78" s="56"/>
      <c r="G78" s="65"/>
      <c r="H78" s="65"/>
      <c r="I78" s="65"/>
      <c r="J78" s="65"/>
      <c r="K78" s="65"/>
      <c r="L78" s="65"/>
      <c r="M78" s="65"/>
      <c r="N78" s="65"/>
      <c r="O78" s="48"/>
      <c r="P78" s="48"/>
      <c r="Q78" s="48">
        <v>0.5</v>
      </c>
      <c r="R78" s="48">
        <v>0.5</v>
      </c>
      <c r="S78" s="403" t="s">
        <v>1155</v>
      </c>
      <c r="U78" s="317"/>
      <c r="V78" s="317"/>
      <c r="W78" s="317"/>
      <c r="X78" s="317"/>
      <c r="Y78" s="317"/>
      <c r="Z78" s="317"/>
      <c r="AA78" s="317"/>
      <c r="AB78" s="317"/>
    </row>
    <row r="79" spans="1:28" ht="15.75" customHeight="1" thickBot="1">
      <c r="A79" s="476"/>
      <c r="B79" s="59" t="str">
        <f>RESUMO!B51</f>
        <v>06.01.500</v>
      </c>
      <c r="C79" s="556" t="str">
        <f>RESUMO!C51</f>
        <v>Aterramento e Proteção Contra Descargas Atmosféricas</v>
      </c>
      <c r="D79" s="557"/>
      <c r="E79" s="49">
        <f>RESUMO!D51*1.2026</f>
        <v>54099.002405517997</v>
      </c>
      <c r="F79" s="50">
        <f>E79/E97</f>
        <v>2.1156827362702737E-3</v>
      </c>
      <c r="G79" s="52"/>
      <c r="H79" s="60">
        <f>E79*H80</f>
        <v>2704.9501202759002</v>
      </c>
      <c r="I79" s="60">
        <f>E79*I80</f>
        <v>8114.8503608276988</v>
      </c>
      <c r="J79" s="60">
        <f>E79*J80</f>
        <v>8114.8503608276988</v>
      </c>
      <c r="K79" s="60">
        <f>E79*K80</f>
        <v>8114.8503608276988</v>
      </c>
      <c r="L79" s="60">
        <f>E79*L80</f>
        <v>8114.8503608276988</v>
      </c>
      <c r="M79" s="60">
        <f>E79*M80</f>
        <v>8114.8503608276988</v>
      </c>
      <c r="N79" s="60">
        <f>E79*N80</f>
        <v>8114.8503608276988</v>
      </c>
      <c r="O79" s="60">
        <f>E79*O80</f>
        <v>2704.9501202759002</v>
      </c>
      <c r="P79" s="61"/>
      <c r="Q79" s="61"/>
      <c r="R79" s="61"/>
      <c r="S79" s="403">
        <f>SUM(G79:R79)</f>
        <v>54099.002405517982</v>
      </c>
      <c r="U79" s="317"/>
      <c r="V79" s="317"/>
      <c r="W79" s="317"/>
      <c r="X79" s="317"/>
      <c r="Y79" s="317"/>
      <c r="Z79" s="317"/>
      <c r="AA79" s="317"/>
      <c r="AB79" s="317"/>
    </row>
    <row r="80" spans="1:28" ht="15.75" thickTop="1">
      <c r="A80" s="476"/>
      <c r="B80" s="62"/>
      <c r="C80" s="558"/>
      <c r="D80" s="559"/>
      <c r="E80" s="53"/>
      <c r="F80" s="56"/>
      <c r="G80" s="48"/>
      <c r="H80" s="48">
        <v>0.05</v>
      </c>
      <c r="I80" s="48">
        <v>0.15</v>
      </c>
      <c r="J80" s="48">
        <v>0.15</v>
      </c>
      <c r="K80" s="48">
        <v>0.15</v>
      </c>
      <c r="L80" s="48">
        <v>0.15</v>
      </c>
      <c r="M80" s="48">
        <v>0.15</v>
      </c>
      <c r="N80" s="48">
        <v>0.15</v>
      </c>
      <c r="O80" s="48">
        <v>0.05</v>
      </c>
      <c r="P80" s="65" t="s">
        <v>1155</v>
      </c>
      <c r="Q80" s="65"/>
      <c r="R80" s="65"/>
      <c r="S80" s="403" t="s">
        <v>1155</v>
      </c>
      <c r="U80" s="317"/>
      <c r="V80" s="317"/>
      <c r="W80" s="317"/>
      <c r="X80" s="317"/>
      <c r="Y80" s="317"/>
      <c r="Z80" s="317"/>
      <c r="AA80" s="317"/>
      <c r="AB80" s="317"/>
    </row>
    <row r="81" spans="1:54" ht="15.75" thickBot="1">
      <c r="A81" s="476"/>
      <c r="B81" s="131" t="str">
        <f>RESUMO!B52</f>
        <v>06.02.000</v>
      </c>
      <c r="C81" s="218" t="str">
        <f>RESUMO!C52</f>
        <v>Telefonia Antena de TV</v>
      </c>
      <c r="D81" s="91"/>
      <c r="E81" s="23">
        <f>RESUMO!D52*1.2026</f>
        <v>56616.535639898786</v>
      </c>
      <c r="F81" s="50">
        <f>E81/E97</f>
        <v>2.2141374464337061E-3</v>
      </c>
      <c r="G81" s="48"/>
      <c r="H81" s="48"/>
      <c r="I81" s="48"/>
      <c r="J81" s="48"/>
      <c r="K81" s="48"/>
      <c r="L81" s="48"/>
      <c r="M81" s="60">
        <f>E81*M82</f>
        <v>5661.6535639898793</v>
      </c>
      <c r="N81" s="60">
        <f>E81*N82</f>
        <v>5661.6535639898793</v>
      </c>
      <c r="O81" s="60">
        <f>E81*O82</f>
        <v>8492.4803459848172</v>
      </c>
      <c r="P81" s="60">
        <f>E81*P82</f>
        <v>11323.307127979759</v>
      </c>
      <c r="Q81" s="60">
        <f>E81*Q82</f>
        <v>16984.960691969634</v>
      </c>
      <c r="R81" s="60">
        <f>E81*R82</f>
        <v>8492.4803459848172</v>
      </c>
      <c r="S81" s="403">
        <f>SUM(G81:R81)</f>
        <v>56616.535639898793</v>
      </c>
      <c r="U81" s="317"/>
      <c r="V81" s="317"/>
      <c r="W81" s="317"/>
      <c r="X81" s="317"/>
      <c r="Y81" s="317"/>
      <c r="Z81" s="317"/>
      <c r="AA81" s="317"/>
      <c r="AB81" s="317"/>
    </row>
    <row r="82" spans="1:54" ht="15.75" thickTop="1">
      <c r="A82" s="476"/>
      <c r="B82" s="23"/>
      <c r="C82" s="54"/>
      <c r="D82" s="88"/>
      <c r="E82" s="23"/>
      <c r="F82" s="47"/>
      <c r="G82" s="48"/>
      <c r="H82" s="48"/>
      <c r="I82" s="48"/>
      <c r="J82" s="48"/>
      <c r="K82" s="48"/>
      <c r="L82" s="48"/>
      <c r="M82" s="48">
        <v>0.1</v>
      </c>
      <c r="N82" s="48">
        <v>0.1</v>
      </c>
      <c r="O82" s="48">
        <v>0.15</v>
      </c>
      <c r="P82" s="48">
        <v>0.2</v>
      </c>
      <c r="Q82" s="48">
        <v>0.3</v>
      </c>
      <c r="R82" s="48">
        <v>0.15</v>
      </c>
      <c r="S82" s="403" t="s">
        <v>1155</v>
      </c>
      <c r="U82" s="317"/>
      <c r="V82" s="317"/>
      <c r="W82" s="317"/>
      <c r="X82" s="317"/>
      <c r="Y82" s="317"/>
      <c r="Z82" s="317"/>
      <c r="AA82" s="317"/>
      <c r="AB82" s="317"/>
    </row>
    <row r="83" spans="1:54" ht="15.75" thickBot="1">
      <c r="A83" s="476"/>
      <c r="B83" s="59" t="str">
        <f>RESUMO!B52</f>
        <v>06.02.000</v>
      </c>
      <c r="C83" s="120" t="str">
        <f>RESUMO!C53</f>
        <v>Detecção e Alarme de Incêndio</v>
      </c>
      <c r="D83" s="117"/>
      <c r="E83" s="49">
        <f>RESUMO!D53*1.2026</f>
        <v>159477.247156397</v>
      </c>
      <c r="F83" s="50">
        <f>E83/E97</f>
        <v>6.2367741295407371E-3</v>
      </c>
      <c r="G83" s="61"/>
      <c r="H83" s="61"/>
      <c r="I83" s="61"/>
      <c r="J83" s="61"/>
      <c r="K83" s="61"/>
      <c r="L83" s="61"/>
      <c r="M83" s="61"/>
      <c r="N83" s="61"/>
      <c r="O83" s="52"/>
      <c r="P83" s="52"/>
      <c r="Q83" s="60">
        <f>E83*Q84</f>
        <v>79738.623578198501</v>
      </c>
      <c r="R83" s="60">
        <f>E83*R84</f>
        <v>79738.623578198501</v>
      </c>
      <c r="S83" s="403">
        <f>SUM(G83:R83)</f>
        <v>159477.247156397</v>
      </c>
      <c r="U83" s="317"/>
      <c r="V83" s="317"/>
      <c r="W83" s="317"/>
      <c r="X83" s="317"/>
      <c r="Y83" s="317"/>
      <c r="Z83" s="317"/>
      <c r="AA83" s="317"/>
      <c r="AB83" s="317"/>
    </row>
    <row r="84" spans="1:54" ht="15.75" thickTop="1">
      <c r="A84" s="476"/>
      <c r="B84" s="62"/>
      <c r="C84" s="120"/>
      <c r="D84" s="130"/>
      <c r="E84" s="54"/>
      <c r="F84" s="56"/>
      <c r="G84" s="65"/>
      <c r="H84" s="65"/>
      <c r="I84" s="65"/>
      <c r="J84" s="65"/>
      <c r="K84" s="65"/>
      <c r="L84" s="65"/>
      <c r="M84" s="65"/>
      <c r="N84" s="65"/>
      <c r="O84" s="48"/>
      <c r="P84" s="48"/>
      <c r="Q84" s="48">
        <v>0.5</v>
      </c>
      <c r="R84" s="48">
        <v>0.5</v>
      </c>
      <c r="S84" s="403" t="s">
        <v>1155</v>
      </c>
      <c r="U84" s="317"/>
      <c r="V84" s="317"/>
      <c r="W84" s="317"/>
      <c r="X84" s="317"/>
      <c r="Y84" s="317"/>
      <c r="Z84" s="317"/>
      <c r="AA84" s="317"/>
      <c r="AB84" s="317"/>
    </row>
    <row r="85" spans="1:54">
      <c r="A85" s="476"/>
      <c r="B85" s="49" t="str">
        <f>RESUMO!B54</f>
        <v>07.00.000</v>
      </c>
      <c r="C85" s="129" t="str">
        <f>RESUMO!C54</f>
        <v>INSTALAÇÕES MECÂNICAS E DE UTILIDADES</v>
      </c>
      <c r="D85" s="64"/>
      <c r="E85" s="53"/>
      <c r="F85" s="56"/>
      <c r="G85" s="61"/>
      <c r="H85" s="61"/>
      <c r="I85" s="61"/>
      <c r="J85" s="61"/>
      <c r="K85" s="61"/>
      <c r="L85" s="61"/>
      <c r="M85" s="61"/>
      <c r="N85" s="61"/>
      <c r="O85" s="61"/>
      <c r="P85" s="61"/>
      <c r="Q85" s="61"/>
      <c r="R85" s="61"/>
      <c r="S85" s="403" t="s">
        <v>1155</v>
      </c>
      <c r="U85" s="317"/>
      <c r="V85" s="317"/>
      <c r="W85" s="317"/>
      <c r="X85" s="317"/>
      <c r="Y85" s="317"/>
      <c r="Z85" s="317"/>
      <c r="AA85" s="317"/>
      <c r="AB85" s="317"/>
    </row>
    <row r="86" spans="1:54" ht="15.75" thickBot="1">
      <c r="A86" s="476"/>
      <c r="B86" s="131">
        <f>RESUMO!B55</f>
        <v>0</v>
      </c>
      <c r="C86" s="126" t="str">
        <f>RESUMO!C55</f>
        <v>Ar Condicionado</v>
      </c>
      <c r="D86" s="127"/>
      <c r="E86" s="49">
        <f>RESUMO!D55*1.2026</f>
        <v>63450.077949999992</v>
      </c>
      <c r="F86" s="50">
        <f>E86/E97</f>
        <v>2.4813809601806243E-3</v>
      </c>
      <c r="G86" s="61"/>
      <c r="H86" s="61"/>
      <c r="I86" s="61"/>
      <c r="J86" s="61"/>
      <c r="K86" s="61"/>
      <c r="L86" s="61"/>
      <c r="M86" s="61"/>
      <c r="N86" s="61"/>
      <c r="O86" s="61"/>
      <c r="P86" s="61"/>
      <c r="Q86" s="71"/>
      <c r="R86" s="60">
        <f>E86*R87</f>
        <v>63450.077949999992</v>
      </c>
      <c r="S86" s="403">
        <f>SUM(G86:R86)</f>
        <v>63450.077949999992</v>
      </c>
      <c r="U86" s="317"/>
      <c r="V86" s="317"/>
      <c r="W86" s="317"/>
      <c r="X86" s="317"/>
      <c r="Y86" s="317"/>
      <c r="Z86" s="317"/>
      <c r="AA86" s="317"/>
      <c r="AB86" s="317"/>
    </row>
    <row r="87" spans="1:54" ht="15.75" thickTop="1">
      <c r="A87" s="476"/>
      <c r="B87" s="133"/>
      <c r="C87" s="123"/>
      <c r="D87" s="124"/>
      <c r="E87" s="23"/>
      <c r="F87" s="47"/>
      <c r="G87" s="61"/>
      <c r="H87" s="61"/>
      <c r="I87" s="61"/>
      <c r="J87" s="61"/>
      <c r="K87" s="61"/>
      <c r="L87" s="61"/>
      <c r="M87" s="61"/>
      <c r="N87" s="61"/>
      <c r="O87" s="61"/>
      <c r="P87" s="61"/>
      <c r="Q87" s="71"/>
      <c r="R87" s="48">
        <v>1</v>
      </c>
      <c r="S87" s="403"/>
      <c r="U87" s="317"/>
      <c r="V87" s="317"/>
      <c r="W87" s="317"/>
      <c r="X87" s="317"/>
      <c r="Y87" s="317"/>
      <c r="Z87" s="317"/>
      <c r="AA87" s="317"/>
      <c r="AB87" s="317"/>
    </row>
    <row r="88" spans="1:54" ht="15.75" customHeight="1" thickBot="1">
      <c r="A88" s="476"/>
      <c r="B88" s="132" t="str">
        <f>RESUMO!B56</f>
        <v>07.07.000</v>
      </c>
      <c r="C88" s="126" t="str">
        <f>RESUMO!C56</f>
        <v>Gás Combustível</v>
      </c>
      <c r="D88" s="127"/>
      <c r="E88" s="49">
        <f>RESUMO!D56*1.2026</f>
        <v>36963.903034743998</v>
      </c>
      <c r="F88" s="50">
        <f>E88/E97</f>
        <v>1.4455699373081157E-3</v>
      </c>
      <c r="G88" s="61"/>
      <c r="H88" s="61"/>
      <c r="I88" s="61"/>
      <c r="J88" s="61"/>
      <c r="K88" s="61"/>
      <c r="L88" s="61"/>
      <c r="M88" s="61"/>
      <c r="N88" s="61"/>
      <c r="O88" s="52"/>
      <c r="P88" s="61"/>
      <c r="Q88" s="60">
        <f>E88*Q89</f>
        <v>36963.903034743998</v>
      </c>
      <c r="R88" s="52"/>
      <c r="S88" s="403">
        <f>SUM(G88:R88)</f>
        <v>36963.903034743998</v>
      </c>
      <c r="U88" s="317"/>
      <c r="V88" s="317"/>
      <c r="W88" s="317"/>
      <c r="X88" s="317"/>
      <c r="Y88" s="317"/>
      <c r="Z88" s="317"/>
      <c r="AA88" s="317"/>
      <c r="AB88" s="317"/>
    </row>
    <row r="89" spans="1:54" ht="15.75" thickTop="1">
      <c r="A89" s="476"/>
      <c r="B89" s="53"/>
      <c r="C89" s="123"/>
      <c r="D89" s="124"/>
      <c r="E89" s="53"/>
      <c r="F89" s="56"/>
      <c r="G89" s="65"/>
      <c r="H89" s="65"/>
      <c r="I89" s="65"/>
      <c r="J89" s="65"/>
      <c r="K89" s="65"/>
      <c r="L89" s="65"/>
      <c r="M89" s="65"/>
      <c r="N89" s="65"/>
      <c r="O89" s="65"/>
      <c r="P89" s="65"/>
      <c r="Q89" s="48">
        <v>1</v>
      </c>
      <c r="R89" s="65"/>
      <c r="S89" s="403" t="s">
        <v>1155</v>
      </c>
      <c r="U89" s="317"/>
      <c r="V89" s="317"/>
      <c r="W89" s="317"/>
      <c r="X89" s="317"/>
      <c r="Y89" s="317"/>
      <c r="Z89" s="317"/>
      <c r="AA89" s="317"/>
      <c r="AB89" s="317"/>
    </row>
    <row r="90" spans="1:54" ht="15.75" thickBot="1">
      <c r="A90" s="476"/>
      <c r="B90" s="49" t="str">
        <f>[3]RESUMO!B49</f>
        <v>08.00.000</v>
      </c>
      <c r="C90" s="560" t="str">
        <f>[3]RESUMO!C49</f>
        <v>INSTALAÇÕES DE PREVENÇÃO E COMBATE A INCÊNDIO</v>
      </c>
      <c r="D90" s="579"/>
      <c r="E90" s="49">
        <f>RESUMO!D57*1.2026</f>
        <v>611047.46233006008</v>
      </c>
      <c r="F90" s="50">
        <f>E90/E97</f>
        <v>2.3896606399559175E-2</v>
      </c>
      <c r="G90" s="61"/>
      <c r="H90" s="61"/>
      <c r="I90" s="61"/>
      <c r="J90" s="61"/>
      <c r="K90" s="61"/>
      <c r="L90" s="61"/>
      <c r="M90" s="52"/>
      <c r="N90" s="52"/>
      <c r="O90" s="60">
        <f>E90*O91</f>
        <v>122209.49246601202</v>
      </c>
      <c r="P90" s="60">
        <f>E90*P91</f>
        <v>122209.49246601202</v>
      </c>
      <c r="Q90" s="60">
        <f>E90*Q91</f>
        <v>122209.49246601202</v>
      </c>
      <c r="R90" s="60">
        <f>E90*R91</f>
        <v>244418.98493202403</v>
      </c>
      <c r="S90" s="403">
        <f>SUM(G90:R90)</f>
        <v>611047.46233006008</v>
      </c>
      <c r="U90" s="317"/>
      <c r="V90" s="317"/>
      <c r="W90" s="317"/>
      <c r="X90" s="317"/>
      <c r="Y90" s="317"/>
      <c r="Z90" s="317"/>
      <c r="AA90" s="317"/>
      <c r="AB90" s="317"/>
    </row>
    <row r="91" spans="1:54" ht="15.75" customHeight="1" thickTop="1">
      <c r="A91" s="476"/>
      <c r="B91" s="53"/>
      <c r="C91" s="123"/>
      <c r="D91" s="124"/>
      <c r="E91" s="53"/>
      <c r="F91" s="56"/>
      <c r="G91" s="65"/>
      <c r="H91" s="65"/>
      <c r="I91" s="65"/>
      <c r="J91" s="65"/>
      <c r="K91" s="65"/>
      <c r="L91" s="65"/>
      <c r="M91" s="48"/>
      <c r="N91" s="48"/>
      <c r="O91" s="48">
        <v>0.2</v>
      </c>
      <c r="P91" s="48">
        <v>0.2</v>
      </c>
      <c r="Q91" s="48">
        <v>0.2</v>
      </c>
      <c r="R91" s="48">
        <v>0.4</v>
      </c>
      <c r="S91" s="403" t="s">
        <v>1155</v>
      </c>
      <c r="U91" s="317"/>
      <c r="V91" s="317"/>
      <c r="W91" s="317"/>
      <c r="X91" s="317"/>
      <c r="Y91" s="317"/>
      <c r="Z91" s="317"/>
      <c r="AA91" s="317"/>
      <c r="AB91" s="317"/>
    </row>
    <row r="92" spans="1:54" s="115" customFormat="1" ht="15.75" customHeight="1" thickBot="1">
      <c r="A92" s="476"/>
      <c r="B92" s="49" t="str">
        <f>[4]RESUMO!B50</f>
        <v>09.00.000</v>
      </c>
      <c r="C92" s="568" t="str">
        <f>[4]RESUMO!C50</f>
        <v>SERVIÇOS COMPLEMENTARES</v>
      </c>
      <c r="D92" s="569"/>
      <c r="E92" s="49">
        <f>RESUMO!D58*1.2026</f>
        <v>102184.77611140494</v>
      </c>
      <c r="F92" s="50">
        <f>E92/E97</f>
        <v>3.9962024642896457E-3</v>
      </c>
      <c r="G92" s="60">
        <f>E92*G93</f>
        <v>3065.5432833421478</v>
      </c>
      <c r="H92" s="60">
        <f>E92*H93</f>
        <v>3065.5432833421478</v>
      </c>
      <c r="I92" s="60">
        <f>E92*I93</f>
        <v>3065.5432833421478</v>
      </c>
      <c r="J92" s="60">
        <f>E92*J93</f>
        <v>3065.5432833421478</v>
      </c>
      <c r="K92" s="60">
        <f>E92*K93</f>
        <v>3065.5432833421478</v>
      </c>
      <c r="L92" s="60">
        <f>E92*L93</f>
        <v>3065.5432833421478</v>
      </c>
      <c r="M92" s="60">
        <f>E92*M93</f>
        <v>3065.5432833421478</v>
      </c>
      <c r="N92" s="60">
        <f>E92*N93</f>
        <v>3065.5432833421478</v>
      </c>
      <c r="O92" s="60">
        <f>E92*O93</f>
        <v>3065.5432833421478</v>
      </c>
      <c r="P92" s="60">
        <f>E92*P93</f>
        <v>23502.498505623134</v>
      </c>
      <c r="Q92" s="60">
        <f>E92*Q93</f>
        <v>25546.194027851234</v>
      </c>
      <c r="R92" s="60">
        <f>E92*R93</f>
        <v>25546.194027851234</v>
      </c>
      <c r="S92" s="403">
        <f>SUM(G92:R92)</f>
        <v>102184.77611140494</v>
      </c>
      <c r="T92" s="317"/>
      <c r="U92" s="317"/>
      <c r="V92" s="317"/>
      <c r="W92" s="317"/>
      <c r="X92" s="317"/>
      <c r="Y92" s="317"/>
      <c r="Z92" s="317"/>
      <c r="AA92" s="317"/>
      <c r="AB92" s="317"/>
      <c r="AC92" s="317"/>
      <c r="AD92" s="317"/>
      <c r="AE92" s="317"/>
      <c r="AF92" s="317"/>
      <c r="AG92" s="317"/>
      <c r="AH92" s="317"/>
      <c r="AI92" s="317"/>
      <c r="AJ92" s="317"/>
      <c r="AK92" s="317"/>
      <c r="AL92" s="317"/>
      <c r="AM92" s="317"/>
      <c r="AN92" s="317"/>
      <c r="AO92" s="317"/>
      <c r="AP92" s="317"/>
      <c r="AQ92" s="317"/>
      <c r="AR92" s="317"/>
      <c r="AS92" s="317"/>
      <c r="AT92" s="317"/>
      <c r="AU92" s="317"/>
      <c r="AV92" s="317"/>
      <c r="AW92" s="317"/>
      <c r="AX92" s="317"/>
      <c r="AY92" s="317"/>
      <c r="AZ92" s="317"/>
      <c r="BA92" s="317"/>
      <c r="BB92" s="317"/>
    </row>
    <row r="93" spans="1:54" s="115" customFormat="1" ht="15.75" customHeight="1" thickTop="1">
      <c r="A93" s="476"/>
      <c r="B93" s="53"/>
      <c r="C93" s="570"/>
      <c r="D93" s="571"/>
      <c r="E93" s="53"/>
      <c r="F93" s="56"/>
      <c r="G93" s="48">
        <v>0.03</v>
      </c>
      <c r="H93" s="48">
        <v>0.03</v>
      </c>
      <c r="I93" s="48">
        <v>0.03</v>
      </c>
      <c r="J93" s="48">
        <v>0.03</v>
      </c>
      <c r="K93" s="48">
        <v>0.03</v>
      </c>
      <c r="L93" s="48">
        <v>0.03</v>
      </c>
      <c r="M93" s="48">
        <v>0.03</v>
      </c>
      <c r="N93" s="48">
        <v>0.03</v>
      </c>
      <c r="O93" s="48">
        <v>0.03</v>
      </c>
      <c r="P93" s="48">
        <v>0.23</v>
      </c>
      <c r="Q93" s="48">
        <v>0.25</v>
      </c>
      <c r="R93" s="48">
        <v>0.25</v>
      </c>
      <c r="S93" s="403" t="s">
        <v>1155</v>
      </c>
      <c r="T93" s="317"/>
      <c r="U93" s="317"/>
      <c r="V93" s="317"/>
      <c r="W93" s="317"/>
      <c r="X93" s="317"/>
      <c r="Y93" s="317"/>
      <c r="Z93" s="317"/>
      <c r="AA93" s="317"/>
      <c r="AB93" s="317"/>
      <c r="AC93" s="317"/>
      <c r="AD93" s="317"/>
      <c r="AE93" s="317"/>
      <c r="AF93" s="317"/>
      <c r="AG93" s="317"/>
      <c r="AH93" s="317"/>
      <c r="AI93" s="317"/>
      <c r="AJ93" s="317"/>
      <c r="AK93" s="317"/>
      <c r="AL93" s="317"/>
      <c r="AM93" s="317"/>
      <c r="AN93" s="317"/>
      <c r="AO93" s="317"/>
      <c r="AP93" s="317"/>
      <c r="AQ93" s="317"/>
      <c r="AR93" s="317"/>
      <c r="AS93" s="317"/>
      <c r="AT93" s="317"/>
      <c r="AU93" s="317"/>
      <c r="AV93" s="317"/>
      <c r="AW93" s="317"/>
      <c r="AX93" s="317"/>
      <c r="AY93" s="317"/>
      <c r="AZ93" s="317"/>
      <c r="BA93" s="317"/>
      <c r="BB93" s="317"/>
    </row>
    <row r="94" spans="1:54" ht="15.75" thickBot="1">
      <c r="A94" s="476"/>
      <c r="B94" s="23" t="str">
        <f>[4]RESUMO!B51</f>
        <v>10.00.000</v>
      </c>
      <c r="C94" s="560" t="str">
        <f>[4]RESUMO!C51</f>
        <v>SERVIÇOS AUXILIARES E ADMINISTRATIVOS</v>
      </c>
      <c r="D94" s="561"/>
      <c r="E94" s="49">
        <f>RESUMO!D59*1.2026</f>
        <v>1124812.0452531199</v>
      </c>
      <c r="F94" s="50">
        <f>E94/E97</f>
        <v>4.3988711803827164E-2</v>
      </c>
      <c r="G94" s="60">
        <f>E94*G95</f>
        <v>56240.602262656001</v>
      </c>
      <c r="H94" s="60">
        <f>E94*H95</f>
        <v>78736.843167718398</v>
      </c>
      <c r="I94" s="60">
        <f>E94*I95</f>
        <v>78736.843167718398</v>
      </c>
      <c r="J94" s="60">
        <f>E94*J95</f>
        <v>78736.843167718398</v>
      </c>
      <c r="K94" s="60">
        <f>E94*K95</f>
        <v>112481.204525312</v>
      </c>
      <c r="L94" s="60">
        <f>E94*L95</f>
        <v>112481.204525312</v>
      </c>
      <c r="M94" s="60">
        <f>E94*M95</f>
        <v>112481.204525312</v>
      </c>
      <c r="N94" s="60">
        <f>E94*N95</f>
        <v>112481.204525312</v>
      </c>
      <c r="O94" s="60">
        <f>E94*O95</f>
        <v>112481.204525312</v>
      </c>
      <c r="P94" s="60">
        <f>E94*P95</f>
        <v>112481.204525312</v>
      </c>
      <c r="Q94" s="60">
        <f>E94*Q95</f>
        <v>78736.843167718398</v>
      </c>
      <c r="R94" s="60">
        <f>E94*R95</f>
        <v>78736.843167718398</v>
      </c>
      <c r="S94" s="403">
        <f>SUM(G94:R94)</f>
        <v>1124812.0452531199</v>
      </c>
      <c r="U94" s="317"/>
      <c r="V94" s="317"/>
      <c r="W94" s="317"/>
      <c r="X94" s="317"/>
      <c r="Y94" s="317"/>
      <c r="Z94" s="317"/>
      <c r="AA94" s="317"/>
      <c r="AB94" s="317"/>
    </row>
    <row r="95" spans="1:54" ht="15.75" thickTop="1">
      <c r="A95" s="476"/>
      <c r="B95" s="26"/>
      <c r="C95" s="562"/>
      <c r="D95" s="563"/>
      <c r="E95" s="26" t="s">
        <v>1155</v>
      </c>
      <c r="F95" s="72"/>
      <c r="G95" s="73">
        <v>0.05</v>
      </c>
      <c r="H95" s="73">
        <v>7.0000000000000007E-2</v>
      </c>
      <c r="I95" s="73">
        <v>7.0000000000000007E-2</v>
      </c>
      <c r="J95" s="73">
        <v>7.0000000000000007E-2</v>
      </c>
      <c r="K95" s="73">
        <v>0.1</v>
      </c>
      <c r="L95" s="73">
        <v>0.1</v>
      </c>
      <c r="M95" s="73">
        <v>0.1</v>
      </c>
      <c r="N95" s="73">
        <v>0.1</v>
      </c>
      <c r="O95" s="73">
        <v>0.1</v>
      </c>
      <c r="P95" s="73">
        <v>0.1</v>
      </c>
      <c r="Q95" s="73">
        <v>7.0000000000000007E-2</v>
      </c>
      <c r="R95" s="48">
        <v>7.0000000000000007E-2</v>
      </c>
      <c r="S95" s="404"/>
      <c r="U95" s="317"/>
      <c r="V95" s="317"/>
      <c r="W95" s="317"/>
      <c r="X95" s="317"/>
      <c r="Y95" s="317"/>
      <c r="Z95" s="317"/>
      <c r="AA95" s="317"/>
      <c r="AB95" s="317"/>
    </row>
    <row r="96" spans="1:54">
      <c r="A96" s="476"/>
      <c r="B96" s="564" t="s">
        <v>2792</v>
      </c>
      <c r="C96" s="565"/>
      <c r="D96" s="566"/>
      <c r="E96" s="74"/>
      <c r="F96" s="75"/>
      <c r="G96" s="76">
        <f>SUM(G94+G92+G22+G19+G17)</f>
        <v>1218809.3675335704</v>
      </c>
      <c r="H96" s="76">
        <f>SUM(H94+H92+H79+H26+H24+H22+H19)</f>
        <v>1696171.339300734</v>
      </c>
      <c r="I96" s="76">
        <f>SUM(I94+I92+I79+I26+I24)</f>
        <v>1311678.2268833935</v>
      </c>
      <c r="J96" s="76">
        <f>SUM(J94+J92+J79+J28+J26+J24)</f>
        <v>2368557.7888346603</v>
      </c>
      <c r="K96" s="76">
        <f>SUM(K94+K92+K79+K72+K66+K31+K28+K26)</f>
        <v>2490802.0707896273</v>
      </c>
      <c r="L96" s="76">
        <f>SUM(L94+L92+L79+L72+L66+L53+L51+L41+L33+L31+L28+L26)</f>
        <v>2814774.8592142775</v>
      </c>
      <c r="M96" s="76">
        <f>SUM(M94+M92+M81+M79+M75+M72+M66+M55+M53+M51+M43+M41+M33+M31+M28)</f>
        <v>2465591.5335200932</v>
      </c>
      <c r="N96" s="76">
        <f>SUM(N94+N92+N81+N79+N75+N72+N70+N66+N55+N53+N51+N47+N43+N41+N39+N33+N31+N28)</f>
        <v>2564217.0444285166</v>
      </c>
      <c r="O96" s="76">
        <f>SUM(O94+O92+O90+O81+O79+O75+O72+O70+O66+O55+O53+O51+O47+O45+O43+O41+O39+O37+O33+O31)</f>
        <v>2291281.530726268</v>
      </c>
      <c r="P96" s="76">
        <f>SUM(P94+P92+P90+P81+P75+P72+P70+P68+P66+P55+P53+P51+P49+P47+P45+P43+P41+P37+P33+P31)</f>
        <v>2292789.0731278956</v>
      </c>
      <c r="Q96" s="76">
        <f>SUM(Q94+Q92+Q90+Q88+Q83+Q81+Q77+Q75+Q72+Q70+Q68+Q66+Q61+Q53+Q47+Q45+Q43+Q41+Q37+Q35+Q33)</f>
        <v>2151646.8798654992</v>
      </c>
      <c r="R96" s="76">
        <f>SUM(R94+R92+R90+R86+R83+R81+R77+R75+R72+R70+R68+R63+R61+R59+R57+R53+R47+R45+R43+R37+R35)</f>
        <v>1904150.5070756932</v>
      </c>
      <c r="S96" s="404"/>
      <c r="U96" s="317"/>
      <c r="V96" s="317"/>
      <c r="W96" s="317"/>
      <c r="X96" s="317"/>
      <c r="Y96" s="317"/>
      <c r="Z96" s="317"/>
      <c r="AA96" s="317"/>
      <c r="AB96" s="317"/>
    </row>
    <row r="97" spans="1:28">
      <c r="A97" s="476"/>
      <c r="B97" s="564" t="s">
        <v>2793</v>
      </c>
      <c r="C97" s="565"/>
      <c r="D97" s="566"/>
      <c r="E97" s="77">
        <f>SUM(E17:E96)</f>
        <v>25570470.221300218</v>
      </c>
      <c r="F97" s="78" t="s">
        <v>1221</v>
      </c>
      <c r="G97" s="52">
        <f>G96</f>
        <v>1218809.3675335704</v>
      </c>
      <c r="H97" s="52">
        <f>G97+H96</f>
        <v>2914980.7068343041</v>
      </c>
      <c r="I97" s="52">
        <f t="shared" ref="I97:R97" si="0">H97+I96</f>
        <v>4226658.9337176979</v>
      </c>
      <c r="J97" s="52">
        <f t="shared" si="0"/>
        <v>6595216.7225523582</v>
      </c>
      <c r="K97" s="52">
        <f t="shared" si="0"/>
        <v>9086018.793341985</v>
      </c>
      <c r="L97" s="52">
        <f t="shared" si="0"/>
        <v>11900793.652556263</v>
      </c>
      <c r="M97" s="52">
        <f t="shared" si="0"/>
        <v>14366385.186076356</v>
      </c>
      <c r="N97" s="52">
        <f t="shared" si="0"/>
        <v>16930602.230504874</v>
      </c>
      <c r="O97" s="52">
        <f t="shared" si="0"/>
        <v>19221883.761231143</v>
      </c>
      <c r="P97" s="52">
        <f t="shared" si="0"/>
        <v>21514672.834359039</v>
      </c>
      <c r="Q97" s="52">
        <f t="shared" si="0"/>
        <v>23666319.71422454</v>
      </c>
      <c r="R97" s="52">
        <f t="shared" si="0"/>
        <v>25570470.221300233</v>
      </c>
      <c r="S97" s="403">
        <f>SUM(S17:S94)</f>
        <v>25570470.221300218</v>
      </c>
      <c r="U97" s="317"/>
      <c r="V97" s="317"/>
      <c r="W97" s="317"/>
      <c r="X97" s="317"/>
      <c r="Y97" s="317"/>
      <c r="Z97" s="317"/>
      <c r="AA97" s="317"/>
      <c r="AB97" s="317"/>
    </row>
    <row r="98" spans="1:28">
      <c r="A98" s="476"/>
      <c r="B98" s="564" t="s">
        <v>2794</v>
      </c>
      <c r="C98" s="565"/>
      <c r="D98" s="566"/>
      <c r="E98" s="74" t="s">
        <v>1221</v>
      </c>
      <c r="F98" s="78" t="s">
        <v>1221</v>
      </c>
      <c r="G98" s="79">
        <f>G96/E97</f>
        <v>4.7664722509416405E-2</v>
      </c>
      <c r="H98" s="79">
        <f>H96/E97</f>
        <v>6.6333208760776807E-2</v>
      </c>
      <c r="I98" s="79">
        <f>I96/E97</f>
        <v>5.1296601725797156E-2</v>
      </c>
      <c r="J98" s="79">
        <f>J96/E97</f>
        <v>9.2628636405037643E-2</v>
      </c>
      <c r="K98" s="79">
        <f>K96/E97</f>
        <v>9.7409318218747015E-2</v>
      </c>
      <c r="L98" s="79">
        <f>L96/E97</f>
        <v>0.11007911997134757</v>
      </c>
      <c r="M98" s="79">
        <f>M96/E97</f>
        <v>9.6423394336575555E-2</v>
      </c>
      <c r="N98" s="79">
        <f>N96/E97</f>
        <v>0.10028040244220938</v>
      </c>
      <c r="O98" s="79">
        <f>O96/E97</f>
        <v>8.9606546570959372E-2</v>
      </c>
      <c r="P98" s="79">
        <f>P96/E97</f>
        <v>8.966550295262074E-2</v>
      </c>
      <c r="Q98" s="79">
        <f>Q96/E97</f>
        <v>8.4145768976636809E-2</v>
      </c>
      <c r="R98" s="79">
        <f>R96/E97</f>
        <v>7.4466777129875955E-2</v>
      </c>
      <c r="S98" s="404"/>
      <c r="U98" s="317"/>
      <c r="V98" s="317"/>
      <c r="W98" s="317"/>
      <c r="X98" s="317"/>
      <c r="Y98" s="317"/>
      <c r="Z98" s="317"/>
      <c r="AA98" s="317"/>
      <c r="AB98" s="317"/>
    </row>
    <row r="99" spans="1:28">
      <c r="A99" s="476"/>
      <c r="B99" s="567" t="s">
        <v>2795</v>
      </c>
      <c r="C99" s="565"/>
      <c r="D99" s="566"/>
      <c r="E99" s="80" t="s">
        <v>1221</v>
      </c>
      <c r="F99" s="75">
        <f>SUM(F17:F94)</f>
        <v>1.0000000000000004</v>
      </c>
      <c r="G99" s="81">
        <f>G98</f>
        <v>4.7664722509416405E-2</v>
      </c>
      <c r="H99" s="81">
        <f>G99+H98</f>
        <v>0.11399793127019321</v>
      </c>
      <c r="I99" s="81">
        <f t="shared" ref="I99:R99" si="1">H99+I98</f>
        <v>0.16529453299599037</v>
      </c>
      <c r="J99" s="81">
        <f t="shared" si="1"/>
        <v>0.257923169401028</v>
      </c>
      <c r="K99" s="81">
        <f t="shared" si="1"/>
        <v>0.35533248761977498</v>
      </c>
      <c r="L99" s="81">
        <f t="shared" si="1"/>
        <v>0.46541160759112254</v>
      </c>
      <c r="M99" s="81">
        <f t="shared" si="1"/>
        <v>0.56183500192769809</v>
      </c>
      <c r="N99" s="81">
        <f t="shared" si="1"/>
        <v>0.66211540436990746</v>
      </c>
      <c r="O99" s="81">
        <f t="shared" si="1"/>
        <v>0.7517219509408668</v>
      </c>
      <c r="P99" s="81">
        <f t="shared" si="1"/>
        <v>0.84138745389348757</v>
      </c>
      <c r="Q99" s="81">
        <f t="shared" si="1"/>
        <v>0.92553322287012441</v>
      </c>
      <c r="R99" s="81">
        <f t="shared" si="1"/>
        <v>1.0000000000000004</v>
      </c>
      <c r="S99" s="405"/>
      <c r="U99" s="317"/>
      <c r="V99" s="317"/>
      <c r="W99" s="317"/>
      <c r="X99" s="317"/>
      <c r="Y99" s="317"/>
      <c r="Z99" s="317"/>
      <c r="AA99" s="317"/>
      <c r="AB99" s="317"/>
    </row>
    <row r="100" spans="1:28" s="317" customFormat="1">
      <c r="B100" s="359"/>
      <c r="C100" s="360"/>
      <c r="D100" s="361"/>
      <c r="E100" s="361"/>
      <c r="F100" s="361"/>
      <c r="U100" s="349"/>
      <c r="AB100" s="349"/>
    </row>
    <row r="101" spans="1:28" s="317" customFormat="1"/>
    <row r="102" spans="1:28" s="317" customFormat="1"/>
    <row r="103" spans="1:28" s="317" customFormat="1">
      <c r="V103" s="349"/>
      <c r="W103" s="349"/>
      <c r="X103" s="349"/>
      <c r="Y103" s="349"/>
      <c r="Z103" s="349"/>
      <c r="AA103" s="349"/>
    </row>
    <row r="104" spans="1:28" s="317" customFormat="1"/>
    <row r="105" spans="1:28" s="317" customFormat="1"/>
    <row r="106" spans="1:28" s="317" customFormat="1"/>
    <row r="107" spans="1:28" s="317" customFormat="1"/>
    <row r="108" spans="1:28" s="317" customFormat="1"/>
    <row r="109" spans="1:28" s="317" customFormat="1"/>
    <row r="110" spans="1:28" s="317" customFormat="1"/>
    <row r="111" spans="1:28" s="317" customFormat="1"/>
    <row r="112" spans="1:28" s="317" customFormat="1"/>
    <row r="113" s="317" customFormat="1"/>
    <row r="114" s="317" customFormat="1"/>
    <row r="115" s="317" customFormat="1"/>
    <row r="116" s="317" customFormat="1"/>
    <row r="117" s="317" customFormat="1"/>
    <row r="118" s="317" customFormat="1"/>
    <row r="119" s="317" customFormat="1"/>
    <row r="120" s="317" customFormat="1"/>
    <row r="121" s="317" customFormat="1"/>
    <row r="122" s="317" customFormat="1"/>
    <row r="123" s="317" customFormat="1"/>
    <row r="124" s="317" customFormat="1"/>
    <row r="125" s="317" customFormat="1"/>
    <row r="126" s="317" customFormat="1"/>
    <row r="127" s="317" customFormat="1"/>
    <row r="128" s="317" customFormat="1"/>
    <row r="129" spans="21:28" s="317" customFormat="1"/>
    <row r="130" spans="21:28" s="317" customFormat="1"/>
    <row r="131" spans="21:28" s="317" customFormat="1"/>
    <row r="132" spans="21:28" s="317" customFormat="1"/>
    <row r="133" spans="21:28" s="317" customFormat="1"/>
    <row r="134" spans="21:28" s="317" customFormat="1"/>
    <row r="135" spans="21:28" s="317" customFormat="1"/>
    <row r="136" spans="21:28" s="317" customFormat="1"/>
    <row r="137" spans="21:28" s="317" customFormat="1"/>
    <row r="138" spans="21:28" s="317" customFormat="1">
      <c r="U138" s="349"/>
      <c r="AB138" s="349"/>
    </row>
    <row r="139" spans="21:28" s="317" customFormat="1">
      <c r="U139" s="349"/>
      <c r="AB139" s="349"/>
    </row>
    <row r="140" spans="21:28" s="317" customFormat="1">
      <c r="U140" s="349"/>
      <c r="AB140" s="349"/>
    </row>
    <row r="141" spans="21:28" s="317" customFormat="1">
      <c r="U141" s="349"/>
      <c r="V141" s="349"/>
      <c r="W141" s="349"/>
      <c r="X141" s="349"/>
      <c r="Y141" s="349"/>
      <c r="Z141" s="349"/>
      <c r="AA141" s="349"/>
      <c r="AB141" s="349"/>
    </row>
    <row r="142" spans="21:28" s="317" customFormat="1">
      <c r="U142" s="349"/>
      <c r="V142" s="349"/>
      <c r="W142" s="349"/>
      <c r="X142" s="349"/>
      <c r="Y142" s="349"/>
      <c r="Z142" s="349"/>
      <c r="AA142" s="349"/>
      <c r="AB142" s="349"/>
    </row>
    <row r="143" spans="21:28" s="317" customFormat="1">
      <c r="U143" s="349"/>
      <c r="V143" s="349"/>
      <c r="W143" s="349"/>
      <c r="X143" s="349"/>
      <c r="Y143" s="349"/>
      <c r="Z143" s="349"/>
      <c r="AA143" s="349"/>
      <c r="AB143" s="349"/>
    </row>
    <row r="144" spans="21:28" s="317" customFormat="1">
      <c r="U144" s="349"/>
      <c r="V144" s="349"/>
      <c r="W144" s="349"/>
      <c r="X144" s="349"/>
      <c r="Y144" s="349"/>
      <c r="Z144" s="349"/>
      <c r="AA144" s="349"/>
      <c r="AB144" s="349"/>
    </row>
    <row r="145" spans="21:28" s="317" customFormat="1">
      <c r="U145" s="349"/>
      <c r="V145" s="349"/>
      <c r="W145" s="349"/>
      <c r="X145" s="349"/>
      <c r="Y145" s="349"/>
      <c r="Z145" s="349"/>
      <c r="AA145" s="349"/>
      <c r="AB145" s="349"/>
    </row>
    <row r="146" spans="21:28" s="317" customFormat="1">
      <c r="U146" s="349"/>
      <c r="V146" s="349"/>
      <c r="W146" s="349"/>
      <c r="X146" s="349"/>
      <c r="Y146" s="349"/>
      <c r="Z146" s="349"/>
      <c r="AA146" s="349"/>
      <c r="AB146" s="349"/>
    </row>
    <row r="147" spans="21:28" s="317" customFormat="1">
      <c r="U147" s="349"/>
      <c r="V147" s="349"/>
      <c r="W147" s="349"/>
      <c r="X147" s="349"/>
      <c r="Y147" s="349"/>
      <c r="Z147" s="349"/>
      <c r="AA147" s="349"/>
      <c r="AB147" s="349"/>
    </row>
    <row r="148" spans="21:28" s="317" customFormat="1">
      <c r="U148" s="349"/>
      <c r="V148" s="349"/>
      <c r="W148" s="349"/>
      <c r="X148" s="349"/>
      <c r="Y148" s="349"/>
      <c r="Z148" s="349"/>
      <c r="AA148" s="349"/>
      <c r="AB148" s="349"/>
    </row>
    <row r="149" spans="21:28" s="317" customFormat="1">
      <c r="U149" s="349"/>
      <c r="V149" s="349"/>
      <c r="W149" s="349"/>
      <c r="X149" s="349"/>
      <c r="Y149" s="349"/>
      <c r="Z149" s="349"/>
      <c r="AA149" s="349"/>
      <c r="AB149" s="349"/>
    </row>
    <row r="150" spans="21:28" s="317" customFormat="1">
      <c r="U150" s="349"/>
      <c r="V150" s="349"/>
      <c r="W150" s="349"/>
      <c r="X150" s="349"/>
      <c r="Y150" s="349"/>
      <c r="Z150" s="349"/>
      <c r="AA150" s="349"/>
      <c r="AB150" s="349"/>
    </row>
    <row r="151" spans="21:28" s="317" customFormat="1">
      <c r="U151" s="349"/>
      <c r="V151" s="349"/>
      <c r="W151" s="349"/>
      <c r="X151" s="349"/>
      <c r="Y151" s="349"/>
      <c r="Z151" s="349"/>
      <c r="AA151" s="349"/>
      <c r="AB151" s="349"/>
    </row>
    <row r="152" spans="21:28" s="317" customFormat="1">
      <c r="U152" s="349"/>
      <c r="V152" s="349"/>
      <c r="W152" s="349"/>
      <c r="X152" s="349"/>
      <c r="Y152" s="349"/>
      <c r="Z152" s="349"/>
      <c r="AA152" s="349"/>
      <c r="AB152" s="349"/>
    </row>
    <row r="153" spans="21:28" s="317" customFormat="1">
      <c r="U153" s="349"/>
      <c r="V153" s="349"/>
      <c r="W153" s="349"/>
      <c r="X153" s="349"/>
      <c r="Y153" s="349"/>
      <c r="Z153" s="349"/>
      <c r="AA153" s="349"/>
      <c r="AB153" s="349"/>
    </row>
    <row r="154" spans="21:28" s="317" customFormat="1">
      <c r="U154" s="349"/>
      <c r="V154" s="349"/>
      <c r="W154" s="349"/>
      <c r="X154" s="349"/>
      <c r="Y154" s="349"/>
      <c r="Z154" s="349"/>
      <c r="AA154" s="349"/>
      <c r="AB154" s="349"/>
    </row>
    <row r="155" spans="21:28" s="317" customFormat="1">
      <c r="U155" s="349"/>
      <c r="V155" s="349"/>
      <c r="W155" s="349"/>
      <c r="X155" s="349"/>
      <c r="Y155" s="349"/>
      <c r="Z155" s="349"/>
      <c r="AA155" s="349"/>
      <c r="AB155" s="349"/>
    </row>
    <row r="156" spans="21:28" s="317" customFormat="1">
      <c r="U156" s="349"/>
      <c r="V156" s="349"/>
      <c r="W156" s="349"/>
      <c r="X156" s="349"/>
      <c r="Y156" s="349"/>
      <c r="Z156" s="349"/>
      <c r="AA156" s="349"/>
      <c r="AB156" s="349"/>
    </row>
    <row r="157" spans="21:28" s="317" customFormat="1">
      <c r="U157" s="349"/>
      <c r="V157" s="349"/>
      <c r="W157" s="349"/>
      <c r="X157" s="349"/>
      <c r="Y157" s="349"/>
      <c r="Z157" s="349"/>
      <c r="AA157" s="349"/>
      <c r="AB157" s="349"/>
    </row>
    <row r="158" spans="21:28" s="317" customFormat="1">
      <c r="U158" s="349"/>
      <c r="V158" s="349"/>
      <c r="W158" s="349"/>
      <c r="X158" s="349"/>
      <c r="Y158" s="349"/>
      <c r="Z158" s="349"/>
      <c r="AA158" s="349"/>
      <c r="AB158" s="349"/>
    </row>
    <row r="159" spans="21:28" s="317" customFormat="1">
      <c r="U159" s="349"/>
      <c r="V159" s="349"/>
      <c r="W159" s="349"/>
      <c r="X159" s="349"/>
      <c r="Y159" s="349"/>
      <c r="Z159" s="349"/>
      <c r="AA159" s="349"/>
      <c r="AB159" s="349"/>
    </row>
    <row r="160" spans="21:28" s="317" customFormat="1">
      <c r="U160" s="349"/>
      <c r="V160" s="349"/>
      <c r="W160" s="349"/>
      <c r="X160" s="349"/>
      <c r="Y160" s="349"/>
      <c r="Z160" s="349"/>
      <c r="AA160" s="349"/>
      <c r="AB160" s="349"/>
    </row>
    <row r="161" spans="21:28" s="317" customFormat="1">
      <c r="U161" s="349"/>
      <c r="V161" s="349"/>
      <c r="W161" s="349"/>
      <c r="X161" s="349"/>
      <c r="Y161" s="349"/>
      <c r="Z161" s="349"/>
      <c r="AA161" s="349"/>
      <c r="AB161" s="349"/>
    </row>
    <row r="162" spans="21:28" s="317" customFormat="1">
      <c r="U162" s="349"/>
      <c r="V162" s="349"/>
      <c r="W162" s="349"/>
      <c r="X162" s="349"/>
      <c r="Y162" s="349"/>
      <c r="Z162" s="349"/>
      <c r="AA162" s="349"/>
      <c r="AB162" s="349"/>
    </row>
    <row r="163" spans="21:28" s="317" customFormat="1">
      <c r="U163" s="349"/>
      <c r="V163" s="349"/>
      <c r="W163" s="349"/>
      <c r="X163" s="349"/>
      <c r="Y163" s="349"/>
      <c r="Z163" s="349"/>
      <c r="AA163" s="349"/>
      <c r="AB163" s="349"/>
    </row>
    <row r="164" spans="21:28" s="317" customFormat="1">
      <c r="U164" s="349"/>
      <c r="V164" s="349"/>
      <c r="W164" s="349"/>
      <c r="X164" s="349"/>
      <c r="Y164" s="349"/>
      <c r="Z164" s="349"/>
      <c r="AA164" s="349"/>
      <c r="AB164" s="349"/>
    </row>
    <row r="165" spans="21:28" s="317" customFormat="1">
      <c r="U165" s="349"/>
      <c r="V165" s="349"/>
      <c r="W165" s="349"/>
      <c r="X165" s="349"/>
      <c r="Y165" s="349"/>
      <c r="Z165" s="349"/>
      <c r="AA165" s="349"/>
      <c r="AB165" s="349"/>
    </row>
    <row r="166" spans="21:28" s="317" customFormat="1">
      <c r="U166" s="349"/>
      <c r="V166" s="349"/>
      <c r="W166" s="349"/>
      <c r="X166" s="349"/>
      <c r="Y166" s="349"/>
      <c r="Z166" s="349"/>
      <c r="AA166" s="349"/>
      <c r="AB166" s="349"/>
    </row>
    <row r="167" spans="21:28" s="317" customFormat="1">
      <c r="U167" s="349"/>
      <c r="V167" s="349"/>
      <c r="W167" s="349"/>
      <c r="X167" s="349"/>
      <c r="Y167" s="349"/>
      <c r="Z167" s="349"/>
      <c r="AA167" s="349"/>
      <c r="AB167" s="349"/>
    </row>
    <row r="168" spans="21:28" s="317" customFormat="1">
      <c r="U168" s="349"/>
      <c r="V168" s="349"/>
      <c r="W168" s="349"/>
      <c r="X168" s="349"/>
      <c r="Y168" s="349"/>
      <c r="Z168" s="349"/>
      <c r="AA168" s="349"/>
      <c r="AB168" s="349"/>
    </row>
    <row r="169" spans="21:28" s="317" customFormat="1">
      <c r="U169" s="349"/>
      <c r="V169" s="349"/>
      <c r="W169" s="349"/>
      <c r="X169" s="349"/>
      <c r="Y169" s="349"/>
      <c r="Z169" s="349"/>
      <c r="AA169" s="349"/>
      <c r="AB169" s="349"/>
    </row>
    <row r="170" spans="21:28" s="317" customFormat="1">
      <c r="U170" s="349"/>
      <c r="V170" s="349"/>
      <c r="W170" s="349"/>
      <c r="X170" s="349"/>
      <c r="Y170" s="349"/>
      <c r="Z170" s="349"/>
      <c r="AA170" s="349"/>
      <c r="AB170" s="349"/>
    </row>
    <row r="171" spans="21:28" s="317" customFormat="1">
      <c r="U171" s="349"/>
      <c r="V171" s="349"/>
      <c r="W171" s="349"/>
      <c r="X171" s="349"/>
      <c r="Y171" s="349"/>
      <c r="Z171" s="349"/>
      <c r="AA171" s="349"/>
      <c r="AB171" s="349"/>
    </row>
    <row r="172" spans="21:28" s="317" customFormat="1">
      <c r="U172" s="349"/>
      <c r="V172" s="349"/>
      <c r="W172" s="349"/>
      <c r="X172" s="349"/>
      <c r="Y172" s="349"/>
      <c r="Z172" s="349"/>
      <c r="AA172" s="349"/>
      <c r="AB172" s="349"/>
    </row>
    <row r="173" spans="21:28" s="317" customFormat="1">
      <c r="U173" s="349"/>
      <c r="V173" s="349"/>
      <c r="W173" s="349"/>
      <c r="X173" s="349"/>
      <c r="Y173" s="349"/>
      <c r="Z173" s="349"/>
      <c r="AA173" s="349"/>
      <c r="AB173" s="349"/>
    </row>
    <row r="174" spans="21:28" s="317" customFormat="1">
      <c r="U174" s="349"/>
      <c r="V174" s="349"/>
      <c r="W174" s="349"/>
      <c r="X174" s="349"/>
      <c r="Y174" s="349"/>
      <c r="Z174" s="349"/>
      <c r="AA174" s="349"/>
      <c r="AB174" s="349"/>
    </row>
    <row r="175" spans="21:28" s="317" customFormat="1">
      <c r="U175" s="349"/>
      <c r="V175" s="349"/>
      <c r="W175" s="349"/>
      <c r="X175" s="349"/>
      <c r="Y175" s="349"/>
      <c r="Z175" s="349"/>
      <c r="AA175" s="349"/>
      <c r="AB175" s="349"/>
    </row>
    <row r="176" spans="21:28" s="317" customFormat="1">
      <c r="U176" s="349"/>
      <c r="V176" s="349"/>
      <c r="W176" s="349"/>
      <c r="X176" s="349"/>
      <c r="Y176" s="349"/>
      <c r="Z176" s="349"/>
      <c r="AA176" s="349"/>
      <c r="AB176" s="349"/>
    </row>
    <row r="177" spans="21:28" s="317" customFormat="1">
      <c r="U177" s="349"/>
      <c r="V177" s="349"/>
      <c r="W177" s="349"/>
      <c r="X177" s="349"/>
      <c r="Y177" s="349"/>
      <c r="Z177" s="349"/>
      <c r="AA177" s="349"/>
      <c r="AB177" s="349"/>
    </row>
    <row r="178" spans="21:28" s="317" customFormat="1">
      <c r="U178" s="349"/>
      <c r="V178" s="349"/>
      <c r="W178" s="349"/>
      <c r="X178" s="349"/>
      <c r="Y178" s="349"/>
      <c r="Z178" s="349"/>
      <c r="AA178" s="349"/>
      <c r="AB178" s="349"/>
    </row>
    <row r="179" spans="21:28" s="317" customFormat="1">
      <c r="U179" s="349"/>
      <c r="V179" s="349"/>
      <c r="W179" s="349"/>
      <c r="X179" s="349"/>
      <c r="Y179" s="349"/>
      <c r="Z179" s="349"/>
      <c r="AA179" s="349"/>
      <c r="AB179" s="349"/>
    </row>
    <row r="180" spans="21:28" s="317" customFormat="1">
      <c r="U180" s="349"/>
      <c r="V180" s="349"/>
      <c r="W180" s="349"/>
      <c r="X180" s="349"/>
      <c r="Y180" s="349"/>
      <c r="Z180" s="349"/>
      <c r="AA180" s="349"/>
      <c r="AB180" s="349"/>
    </row>
    <row r="181" spans="21:28" s="317" customFormat="1">
      <c r="U181" s="349"/>
      <c r="V181" s="349"/>
      <c r="W181" s="349"/>
      <c r="X181" s="349"/>
      <c r="Y181" s="349"/>
      <c r="Z181" s="349"/>
      <c r="AA181" s="349"/>
      <c r="AB181" s="349"/>
    </row>
    <row r="182" spans="21:28" s="317" customFormat="1">
      <c r="U182" s="349"/>
      <c r="V182" s="349"/>
      <c r="W182" s="349"/>
      <c r="X182" s="349"/>
      <c r="Y182" s="349"/>
      <c r="Z182" s="349"/>
      <c r="AA182" s="349"/>
      <c r="AB182" s="349"/>
    </row>
    <row r="183" spans="21:28" s="317" customFormat="1">
      <c r="U183" s="349"/>
      <c r="V183" s="349"/>
      <c r="W183" s="349"/>
      <c r="X183" s="349"/>
      <c r="Y183" s="349"/>
      <c r="Z183" s="349"/>
      <c r="AA183" s="349"/>
      <c r="AB183" s="349"/>
    </row>
    <row r="184" spans="21:28" s="317" customFormat="1">
      <c r="U184" s="349"/>
      <c r="V184" s="349"/>
      <c r="W184" s="349"/>
      <c r="X184" s="349"/>
      <c r="Y184" s="349"/>
      <c r="Z184" s="349"/>
      <c r="AA184" s="349"/>
      <c r="AB184" s="349"/>
    </row>
    <row r="185" spans="21:28" s="317" customFormat="1">
      <c r="U185" s="349"/>
      <c r="V185" s="349"/>
      <c r="W185" s="349"/>
      <c r="X185" s="349"/>
      <c r="Y185" s="349"/>
      <c r="Z185" s="349"/>
      <c r="AA185" s="349"/>
      <c r="AB185" s="349"/>
    </row>
    <row r="186" spans="21:28" s="317" customFormat="1">
      <c r="U186" s="349"/>
      <c r="V186" s="349"/>
      <c r="W186" s="349"/>
      <c r="X186" s="349"/>
      <c r="Y186" s="349"/>
      <c r="Z186" s="349"/>
      <c r="AA186" s="349"/>
      <c r="AB186" s="349"/>
    </row>
    <row r="187" spans="21:28" s="317" customFormat="1">
      <c r="U187" s="349"/>
      <c r="V187" s="349"/>
      <c r="W187" s="349"/>
      <c r="X187" s="349"/>
      <c r="Y187" s="349"/>
      <c r="Z187" s="349"/>
      <c r="AA187" s="349"/>
      <c r="AB187" s="349"/>
    </row>
    <row r="188" spans="21:28" s="317" customFormat="1">
      <c r="U188" s="349"/>
      <c r="V188" s="349"/>
      <c r="W188" s="349"/>
      <c r="X188" s="349"/>
      <c r="Y188" s="349"/>
      <c r="Z188" s="349"/>
      <c r="AA188" s="349"/>
      <c r="AB188" s="349"/>
    </row>
    <row r="189" spans="21:28" s="317" customFormat="1">
      <c r="U189" s="349"/>
      <c r="V189" s="349"/>
      <c r="W189" s="349"/>
      <c r="X189" s="349"/>
      <c r="Y189" s="349"/>
      <c r="Z189" s="349"/>
      <c r="AA189" s="349"/>
      <c r="AB189" s="349"/>
    </row>
    <row r="190" spans="21:28" s="317" customFormat="1">
      <c r="U190" s="349"/>
      <c r="V190" s="349"/>
      <c r="W190" s="349"/>
      <c r="X190" s="349"/>
      <c r="Y190" s="349"/>
      <c r="Z190" s="349"/>
      <c r="AA190" s="349"/>
      <c r="AB190" s="349"/>
    </row>
    <row r="191" spans="21:28" s="317" customFormat="1">
      <c r="U191" s="349"/>
      <c r="V191" s="349"/>
      <c r="W191" s="349"/>
      <c r="X191" s="349"/>
      <c r="Y191" s="349"/>
      <c r="Z191" s="349"/>
      <c r="AA191" s="349"/>
      <c r="AB191" s="349"/>
    </row>
    <row r="192" spans="21:28" s="317" customFormat="1">
      <c r="U192" s="349"/>
      <c r="V192" s="349"/>
      <c r="W192" s="349"/>
      <c r="X192" s="349"/>
      <c r="Y192" s="349"/>
      <c r="Z192" s="349"/>
      <c r="AA192" s="349"/>
      <c r="AB192" s="349"/>
    </row>
    <row r="193" spans="21:28" s="317" customFormat="1">
      <c r="U193" s="349"/>
      <c r="V193" s="349"/>
      <c r="W193" s="349"/>
      <c r="X193" s="349"/>
      <c r="Y193" s="349"/>
      <c r="Z193" s="349"/>
      <c r="AA193" s="349"/>
      <c r="AB193" s="349"/>
    </row>
    <row r="194" spans="21:28" s="317" customFormat="1">
      <c r="U194" s="349"/>
      <c r="V194" s="349"/>
      <c r="W194" s="349"/>
      <c r="X194" s="349"/>
      <c r="Y194" s="349"/>
      <c r="Z194" s="349"/>
      <c r="AA194" s="349"/>
      <c r="AB194" s="349"/>
    </row>
    <row r="195" spans="21:28" s="317" customFormat="1">
      <c r="U195" s="349"/>
      <c r="V195" s="349"/>
      <c r="W195" s="349"/>
      <c r="X195" s="349"/>
      <c r="Y195" s="349"/>
      <c r="Z195" s="349"/>
      <c r="AA195" s="349"/>
      <c r="AB195" s="349"/>
    </row>
    <row r="196" spans="21:28" s="317" customFormat="1">
      <c r="U196" s="349"/>
      <c r="V196" s="349"/>
      <c r="W196" s="349"/>
      <c r="X196" s="349"/>
      <c r="Y196" s="349"/>
      <c r="Z196" s="349"/>
      <c r="AA196" s="349"/>
      <c r="AB196" s="349"/>
    </row>
    <row r="197" spans="21:28" s="317" customFormat="1">
      <c r="U197" s="349"/>
      <c r="V197" s="349"/>
      <c r="W197" s="349"/>
      <c r="X197" s="349"/>
      <c r="Y197" s="349"/>
      <c r="Z197" s="349"/>
      <c r="AA197" s="349"/>
      <c r="AB197" s="349"/>
    </row>
    <row r="198" spans="21:28" s="317" customFormat="1">
      <c r="U198" s="349"/>
      <c r="V198" s="349"/>
      <c r="W198" s="349"/>
      <c r="X198" s="349"/>
      <c r="Y198" s="349"/>
      <c r="Z198" s="349"/>
      <c r="AA198" s="349"/>
      <c r="AB198" s="349"/>
    </row>
    <row r="199" spans="21:28" s="317" customFormat="1">
      <c r="U199" s="349"/>
      <c r="V199" s="349"/>
      <c r="W199" s="349"/>
      <c r="X199" s="349"/>
      <c r="Y199" s="349"/>
      <c r="Z199" s="349"/>
      <c r="AA199" s="349"/>
      <c r="AB199" s="349"/>
    </row>
    <row r="200" spans="21:28" s="317" customFormat="1">
      <c r="U200" s="349"/>
      <c r="V200" s="349"/>
      <c r="W200" s="349"/>
      <c r="X200" s="349"/>
      <c r="Y200" s="349"/>
      <c r="Z200" s="349"/>
      <c r="AA200" s="349"/>
      <c r="AB200" s="349"/>
    </row>
    <row r="201" spans="21:28" s="317" customFormat="1">
      <c r="U201" s="349"/>
      <c r="V201" s="349"/>
      <c r="W201" s="349"/>
      <c r="X201" s="349"/>
      <c r="Y201" s="349"/>
      <c r="Z201" s="349"/>
      <c r="AA201" s="349"/>
      <c r="AB201" s="349"/>
    </row>
    <row r="202" spans="21:28" s="317" customFormat="1">
      <c r="U202" s="349"/>
      <c r="V202" s="349"/>
      <c r="W202" s="349"/>
      <c r="X202" s="349"/>
      <c r="Y202" s="349"/>
      <c r="Z202" s="349"/>
      <c r="AA202" s="349"/>
      <c r="AB202" s="349"/>
    </row>
    <row r="203" spans="21:28" s="317" customFormat="1">
      <c r="U203" s="349"/>
      <c r="V203" s="349"/>
      <c r="W203" s="349"/>
      <c r="X203" s="349"/>
      <c r="Y203" s="349"/>
      <c r="Z203" s="349"/>
      <c r="AA203" s="349"/>
      <c r="AB203" s="349"/>
    </row>
    <row r="204" spans="21:28" s="317" customFormat="1">
      <c r="U204" s="349"/>
      <c r="V204" s="349"/>
      <c r="W204" s="349"/>
      <c r="X204" s="349"/>
      <c r="Y204" s="349"/>
      <c r="Z204" s="349"/>
      <c r="AA204" s="349"/>
      <c r="AB204" s="349"/>
    </row>
    <row r="205" spans="21:28" s="317" customFormat="1">
      <c r="U205" s="349"/>
      <c r="V205" s="349"/>
      <c r="W205" s="349"/>
      <c r="X205" s="349"/>
      <c r="Y205" s="349"/>
      <c r="Z205" s="349"/>
      <c r="AA205" s="349"/>
      <c r="AB205" s="349"/>
    </row>
    <row r="206" spans="21:28" s="317" customFormat="1">
      <c r="U206" s="349"/>
      <c r="V206" s="349"/>
      <c r="W206" s="349"/>
      <c r="X206" s="349"/>
      <c r="Y206" s="349"/>
      <c r="Z206" s="349"/>
      <c r="AA206" s="349"/>
      <c r="AB206" s="349"/>
    </row>
    <row r="207" spans="21:28" s="317" customFormat="1">
      <c r="U207" s="349"/>
      <c r="V207" s="349"/>
      <c r="W207" s="349"/>
      <c r="X207" s="349"/>
      <c r="Y207" s="349"/>
      <c r="Z207" s="349"/>
      <c r="AA207" s="349"/>
      <c r="AB207" s="349"/>
    </row>
    <row r="208" spans="21:28" s="317" customFormat="1">
      <c r="U208" s="349"/>
      <c r="V208" s="349"/>
      <c r="W208" s="349"/>
      <c r="X208" s="349"/>
      <c r="Y208" s="349"/>
      <c r="Z208" s="349"/>
      <c r="AA208" s="349"/>
      <c r="AB208" s="349"/>
    </row>
    <row r="209" spans="21:28" s="317" customFormat="1">
      <c r="U209" s="349"/>
      <c r="V209" s="349"/>
      <c r="W209" s="349"/>
      <c r="X209" s="349"/>
      <c r="Y209" s="349"/>
      <c r="Z209" s="349"/>
      <c r="AA209" s="349"/>
      <c r="AB209" s="349"/>
    </row>
    <row r="210" spans="21:28" s="317" customFormat="1">
      <c r="U210" s="349"/>
      <c r="V210" s="349"/>
      <c r="W210" s="349"/>
      <c r="X210" s="349"/>
      <c r="Y210" s="349"/>
      <c r="Z210" s="349"/>
      <c r="AA210" s="349"/>
      <c r="AB210" s="349"/>
    </row>
    <row r="211" spans="21:28" s="317" customFormat="1">
      <c r="U211" s="349"/>
      <c r="V211" s="349"/>
      <c r="W211" s="349"/>
      <c r="X211" s="349"/>
      <c r="Y211" s="349"/>
      <c r="Z211" s="349"/>
      <c r="AA211" s="349"/>
      <c r="AB211" s="349"/>
    </row>
    <row r="212" spans="21:28" s="317" customFormat="1">
      <c r="U212" s="349"/>
      <c r="V212" s="349"/>
      <c r="W212" s="349"/>
      <c r="X212" s="349"/>
      <c r="Y212" s="349"/>
      <c r="Z212" s="349"/>
      <c r="AA212" s="349"/>
      <c r="AB212" s="349"/>
    </row>
    <row r="213" spans="21:28" s="317" customFormat="1">
      <c r="U213" s="349"/>
      <c r="V213" s="349"/>
      <c r="W213" s="349"/>
      <c r="X213" s="349"/>
      <c r="Y213" s="349"/>
      <c r="Z213" s="349"/>
      <c r="AA213" s="349"/>
      <c r="AB213" s="349"/>
    </row>
    <row r="214" spans="21:28" s="317" customFormat="1">
      <c r="U214" s="349"/>
      <c r="V214" s="349"/>
      <c r="W214" s="349"/>
      <c r="X214" s="349"/>
      <c r="Y214" s="349"/>
      <c r="Z214" s="349"/>
      <c r="AA214" s="349"/>
      <c r="AB214" s="349"/>
    </row>
    <row r="215" spans="21:28" s="317" customFormat="1">
      <c r="U215" s="349"/>
      <c r="V215" s="349"/>
      <c r="W215" s="349"/>
      <c r="X215" s="349"/>
      <c r="Y215" s="349"/>
      <c r="Z215" s="349"/>
      <c r="AA215" s="349"/>
      <c r="AB215" s="349"/>
    </row>
    <row r="216" spans="21:28" s="317" customFormat="1">
      <c r="U216" s="349"/>
      <c r="V216" s="349"/>
      <c r="W216" s="349"/>
      <c r="X216" s="349"/>
      <c r="Y216" s="349"/>
      <c r="Z216" s="349"/>
      <c r="AA216" s="349"/>
      <c r="AB216" s="349"/>
    </row>
    <row r="217" spans="21:28" s="317" customFormat="1">
      <c r="U217" s="349"/>
      <c r="V217" s="349"/>
      <c r="W217" s="349"/>
      <c r="X217" s="349"/>
      <c r="Y217" s="349"/>
      <c r="Z217" s="349"/>
      <c r="AA217" s="349"/>
      <c r="AB217" s="349"/>
    </row>
    <row r="218" spans="21:28" s="317" customFormat="1">
      <c r="U218" s="349"/>
      <c r="V218" s="349"/>
      <c r="W218" s="349"/>
      <c r="X218" s="349"/>
      <c r="Y218" s="349"/>
      <c r="Z218" s="349"/>
      <c r="AA218" s="349"/>
      <c r="AB218" s="349"/>
    </row>
    <row r="219" spans="21:28" s="317" customFormat="1">
      <c r="U219" s="349"/>
      <c r="V219" s="349"/>
      <c r="W219" s="349"/>
      <c r="X219" s="349"/>
      <c r="Y219" s="349"/>
      <c r="Z219" s="349"/>
      <c r="AA219" s="349"/>
      <c r="AB219" s="349"/>
    </row>
    <row r="220" spans="21:28" s="317" customFormat="1">
      <c r="U220" s="349"/>
      <c r="V220" s="349"/>
      <c r="W220" s="349"/>
      <c r="X220" s="349"/>
      <c r="Y220" s="349"/>
      <c r="Z220" s="349"/>
      <c r="AA220" s="349"/>
      <c r="AB220" s="349"/>
    </row>
    <row r="221" spans="21:28" s="317" customFormat="1">
      <c r="U221" s="349"/>
      <c r="V221" s="349"/>
      <c r="W221" s="349"/>
      <c r="X221" s="349"/>
      <c r="Y221" s="349"/>
      <c r="Z221" s="349"/>
      <c r="AA221" s="349"/>
      <c r="AB221" s="349"/>
    </row>
    <row r="222" spans="21:28" s="317" customFormat="1">
      <c r="U222" s="349"/>
      <c r="V222" s="349"/>
      <c r="W222" s="349"/>
      <c r="X222" s="349"/>
      <c r="Y222" s="349"/>
      <c r="Z222" s="349"/>
      <c r="AA222" s="349"/>
      <c r="AB222" s="349"/>
    </row>
    <row r="223" spans="21:28" s="317" customFormat="1">
      <c r="U223" s="349"/>
      <c r="V223" s="349"/>
      <c r="W223" s="349"/>
      <c r="X223" s="349"/>
      <c r="Y223" s="349"/>
      <c r="Z223" s="349"/>
      <c r="AA223" s="349"/>
      <c r="AB223" s="349"/>
    </row>
    <row r="224" spans="21:28" s="317" customFormat="1">
      <c r="U224" s="349"/>
      <c r="V224" s="349"/>
      <c r="W224" s="349"/>
      <c r="X224" s="349"/>
      <c r="Y224" s="349"/>
      <c r="Z224" s="349"/>
      <c r="AA224" s="349"/>
      <c r="AB224" s="349"/>
    </row>
    <row r="225" spans="21:28" s="317" customFormat="1">
      <c r="U225" s="349"/>
      <c r="V225" s="349"/>
      <c r="W225" s="349"/>
      <c r="X225" s="349"/>
      <c r="Y225" s="349"/>
      <c r="Z225" s="349"/>
      <c r="AA225" s="349"/>
      <c r="AB225" s="349"/>
    </row>
    <row r="226" spans="21:28" s="317" customFormat="1">
      <c r="U226" s="349"/>
      <c r="V226" s="349"/>
      <c r="W226" s="349"/>
      <c r="X226" s="349"/>
      <c r="Y226" s="349"/>
      <c r="Z226" s="349"/>
      <c r="AA226" s="349"/>
      <c r="AB226" s="349"/>
    </row>
    <row r="227" spans="21:28" s="317" customFormat="1">
      <c r="U227" s="349"/>
      <c r="V227" s="349"/>
      <c r="W227" s="349"/>
      <c r="X227" s="349"/>
      <c r="Y227" s="349"/>
      <c r="Z227" s="349"/>
      <c r="AA227" s="349"/>
      <c r="AB227" s="349"/>
    </row>
    <row r="228" spans="21:28" s="317" customFormat="1">
      <c r="U228" s="349"/>
      <c r="V228" s="349"/>
      <c r="W228" s="349"/>
      <c r="X228" s="349"/>
      <c r="Y228" s="349"/>
      <c r="Z228" s="349"/>
      <c r="AA228" s="349"/>
      <c r="AB228" s="349"/>
    </row>
    <row r="229" spans="21:28" s="317" customFormat="1">
      <c r="U229" s="349"/>
      <c r="V229" s="349"/>
      <c r="W229" s="349"/>
      <c r="X229" s="349"/>
      <c r="Y229" s="349"/>
      <c r="Z229" s="349"/>
      <c r="AA229" s="349"/>
      <c r="AB229" s="349"/>
    </row>
    <row r="230" spans="21:28" s="317" customFormat="1">
      <c r="U230" s="349"/>
      <c r="V230" s="349"/>
      <c r="W230" s="349"/>
      <c r="X230" s="349"/>
      <c r="Y230" s="349"/>
      <c r="Z230" s="349"/>
      <c r="AA230" s="349"/>
      <c r="AB230" s="349"/>
    </row>
    <row r="231" spans="21:28" s="317" customFormat="1">
      <c r="U231" s="349"/>
      <c r="V231" s="349"/>
      <c r="W231" s="349"/>
      <c r="X231" s="349"/>
      <c r="Y231" s="349"/>
      <c r="Z231" s="349"/>
      <c r="AA231" s="349"/>
      <c r="AB231" s="349"/>
    </row>
    <row r="232" spans="21:28" s="317" customFormat="1">
      <c r="U232" s="349"/>
      <c r="V232" s="349"/>
      <c r="W232" s="349"/>
      <c r="X232" s="349"/>
      <c r="Y232" s="349"/>
      <c r="Z232" s="349"/>
      <c r="AA232" s="349"/>
      <c r="AB232" s="349"/>
    </row>
    <row r="233" spans="21:28" s="317" customFormat="1">
      <c r="U233" s="349"/>
      <c r="V233" s="349"/>
      <c r="W233" s="349"/>
      <c r="X233" s="349"/>
      <c r="Y233" s="349"/>
      <c r="Z233" s="349"/>
      <c r="AA233" s="349"/>
      <c r="AB233" s="349"/>
    </row>
    <row r="234" spans="21:28" s="317" customFormat="1">
      <c r="U234" s="349"/>
      <c r="V234" s="349"/>
      <c r="W234" s="349"/>
      <c r="X234" s="349"/>
      <c r="Y234" s="349"/>
      <c r="Z234" s="349"/>
      <c r="AA234" s="349"/>
      <c r="AB234" s="349"/>
    </row>
    <row r="235" spans="21:28" s="317" customFormat="1">
      <c r="U235" s="349"/>
      <c r="V235" s="349"/>
      <c r="W235" s="349"/>
      <c r="X235" s="349"/>
      <c r="Y235" s="349"/>
      <c r="Z235" s="349"/>
      <c r="AA235" s="349"/>
      <c r="AB235" s="349"/>
    </row>
    <row r="236" spans="21:28" s="317" customFormat="1">
      <c r="U236" s="349"/>
      <c r="V236" s="349"/>
      <c r="W236" s="349"/>
      <c r="X236" s="349"/>
      <c r="Y236" s="349"/>
      <c r="Z236" s="349"/>
      <c r="AA236" s="349"/>
      <c r="AB236" s="349"/>
    </row>
    <row r="237" spans="21:28" s="317" customFormat="1">
      <c r="U237" s="349"/>
      <c r="V237" s="349"/>
      <c r="W237" s="349"/>
      <c r="X237" s="349"/>
      <c r="Y237" s="349"/>
      <c r="Z237" s="349"/>
      <c r="AA237" s="349"/>
      <c r="AB237" s="349"/>
    </row>
    <row r="238" spans="21:28" s="317" customFormat="1">
      <c r="U238" s="349"/>
      <c r="V238" s="349"/>
      <c r="W238" s="349"/>
      <c r="X238" s="349"/>
      <c r="Y238" s="349"/>
      <c r="Z238" s="349"/>
      <c r="AA238" s="349"/>
      <c r="AB238" s="349"/>
    </row>
    <row r="239" spans="21:28" s="317" customFormat="1">
      <c r="U239" s="349"/>
      <c r="V239" s="349"/>
      <c r="W239" s="349"/>
      <c r="X239" s="349"/>
      <c r="Y239" s="349"/>
      <c r="Z239" s="349"/>
      <c r="AA239" s="349"/>
      <c r="AB239" s="349"/>
    </row>
    <row r="240" spans="21:28" s="317" customFormat="1">
      <c r="U240" s="349"/>
      <c r="V240" s="349"/>
      <c r="W240" s="349"/>
      <c r="X240" s="349"/>
      <c r="Y240" s="349"/>
      <c r="Z240" s="349"/>
      <c r="AA240" s="349"/>
      <c r="AB240" s="349"/>
    </row>
    <row r="241" spans="21:28" s="317" customFormat="1">
      <c r="U241" s="349"/>
      <c r="V241" s="349"/>
      <c r="W241" s="349"/>
      <c r="X241" s="349"/>
      <c r="Y241" s="349"/>
      <c r="Z241" s="349"/>
      <c r="AA241" s="349"/>
      <c r="AB241" s="349"/>
    </row>
    <row r="242" spans="21:28" s="317" customFormat="1">
      <c r="U242" s="349"/>
      <c r="V242" s="349"/>
      <c r="W242" s="349"/>
      <c r="X242" s="349"/>
      <c r="Y242" s="349"/>
      <c r="Z242" s="349"/>
      <c r="AA242" s="349"/>
      <c r="AB242" s="349"/>
    </row>
    <row r="243" spans="21:28" s="317" customFormat="1">
      <c r="U243" s="349"/>
      <c r="V243" s="349"/>
      <c r="W243" s="349"/>
      <c r="X243" s="349"/>
      <c r="Y243" s="349"/>
      <c r="Z243" s="349"/>
      <c r="AA243" s="349"/>
      <c r="AB243" s="349"/>
    </row>
    <row r="244" spans="21:28" s="317" customFormat="1">
      <c r="U244" s="349"/>
      <c r="V244" s="349"/>
      <c r="W244" s="349"/>
      <c r="X244" s="349"/>
      <c r="Y244" s="349"/>
      <c r="Z244" s="349"/>
      <c r="AA244" s="349"/>
      <c r="AB244" s="349"/>
    </row>
    <row r="245" spans="21:28" s="317" customFormat="1">
      <c r="U245" s="349"/>
      <c r="V245" s="349"/>
      <c r="W245" s="349"/>
      <c r="X245" s="349"/>
      <c r="Y245" s="349"/>
      <c r="Z245" s="349"/>
      <c r="AA245" s="349"/>
      <c r="AB245" s="349"/>
    </row>
    <row r="246" spans="21:28" s="317" customFormat="1">
      <c r="U246" s="349"/>
      <c r="V246" s="349"/>
      <c r="W246" s="349"/>
      <c r="X246" s="349"/>
      <c r="Y246" s="349"/>
      <c r="Z246" s="349"/>
      <c r="AA246" s="349"/>
      <c r="AB246" s="349"/>
    </row>
    <row r="247" spans="21:28" s="317" customFormat="1">
      <c r="U247" s="349"/>
      <c r="V247" s="349"/>
      <c r="W247" s="349"/>
      <c r="X247" s="349"/>
      <c r="Y247" s="349"/>
      <c r="Z247" s="349"/>
      <c r="AA247" s="349"/>
      <c r="AB247" s="349"/>
    </row>
    <row r="248" spans="21:28" s="317" customFormat="1">
      <c r="U248" s="349"/>
      <c r="V248" s="349"/>
      <c r="W248" s="349"/>
      <c r="X248" s="349"/>
      <c r="Y248" s="349"/>
      <c r="Z248" s="349"/>
      <c r="AA248" s="349"/>
      <c r="AB248" s="349"/>
    </row>
    <row r="249" spans="21:28" s="317" customFormat="1">
      <c r="U249" s="349"/>
      <c r="V249" s="349"/>
      <c r="W249" s="349"/>
      <c r="X249" s="349"/>
      <c r="Y249" s="349"/>
      <c r="Z249" s="349"/>
      <c r="AA249" s="349"/>
      <c r="AB249" s="349"/>
    </row>
    <row r="250" spans="21:28" s="317" customFormat="1">
      <c r="U250" s="349"/>
      <c r="V250" s="349"/>
      <c r="W250" s="349"/>
      <c r="X250" s="349"/>
      <c r="Y250" s="349"/>
      <c r="Z250" s="349"/>
      <c r="AA250" s="349"/>
      <c r="AB250" s="349"/>
    </row>
    <row r="251" spans="21:28" s="317" customFormat="1">
      <c r="U251" s="349"/>
      <c r="V251" s="349"/>
      <c r="W251" s="349"/>
      <c r="X251" s="349"/>
      <c r="Y251" s="349"/>
      <c r="Z251" s="349"/>
      <c r="AA251" s="349"/>
      <c r="AB251" s="349"/>
    </row>
    <row r="252" spans="21:28" s="317" customFormat="1">
      <c r="U252" s="349"/>
      <c r="V252" s="349"/>
      <c r="W252" s="349"/>
      <c r="X252" s="349"/>
      <c r="Y252" s="349"/>
      <c r="Z252" s="349"/>
      <c r="AA252" s="349"/>
      <c r="AB252" s="349"/>
    </row>
    <row r="253" spans="21:28" s="317" customFormat="1">
      <c r="U253" s="349"/>
      <c r="V253" s="349"/>
      <c r="W253" s="349"/>
      <c r="X253" s="349"/>
      <c r="Y253" s="349"/>
      <c r="Z253" s="349"/>
      <c r="AA253" s="349"/>
      <c r="AB253" s="349"/>
    </row>
    <row r="254" spans="21:28" s="317" customFormat="1">
      <c r="U254" s="349"/>
      <c r="V254" s="349"/>
      <c r="W254" s="349"/>
      <c r="X254" s="349"/>
      <c r="Y254" s="349"/>
      <c r="Z254" s="349"/>
      <c r="AA254" s="349"/>
      <c r="AB254" s="349"/>
    </row>
    <row r="255" spans="21:28" s="317" customFormat="1">
      <c r="U255" s="349"/>
      <c r="V255" s="349"/>
      <c r="W255" s="349"/>
      <c r="X255" s="349"/>
      <c r="Y255" s="349"/>
      <c r="Z255" s="349"/>
      <c r="AA255" s="349"/>
      <c r="AB255" s="349"/>
    </row>
    <row r="256" spans="21:28" s="317" customFormat="1">
      <c r="U256" s="349"/>
      <c r="V256" s="349"/>
      <c r="W256" s="349"/>
      <c r="X256" s="349"/>
      <c r="Y256" s="349"/>
      <c r="Z256" s="349"/>
      <c r="AA256" s="349"/>
      <c r="AB256" s="349"/>
    </row>
    <row r="257" spans="21:28" s="317" customFormat="1">
      <c r="U257" s="349"/>
      <c r="V257" s="349"/>
      <c r="W257" s="349"/>
      <c r="X257" s="349"/>
      <c r="Y257" s="349"/>
      <c r="Z257" s="349"/>
      <c r="AA257" s="349"/>
      <c r="AB257" s="349"/>
    </row>
    <row r="258" spans="21:28" s="317" customFormat="1">
      <c r="U258" s="349"/>
      <c r="V258" s="349"/>
      <c r="W258" s="349"/>
      <c r="X258" s="349"/>
      <c r="Y258" s="349"/>
      <c r="Z258" s="349"/>
      <c r="AA258" s="349"/>
      <c r="AB258" s="349"/>
    </row>
    <row r="259" spans="21:28" s="317" customFormat="1">
      <c r="U259" s="349"/>
      <c r="V259" s="349"/>
      <c r="W259" s="349"/>
      <c r="X259" s="349"/>
      <c r="Y259" s="349"/>
      <c r="Z259" s="349"/>
      <c r="AA259" s="349"/>
      <c r="AB259" s="349"/>
    </row>
    <row r="260" spans="21:28" s="317" customFormat="1">
      <c r="U260" s="349"/>
      <c r="V260" s="349"/>
      <c r="W260" s="349"/>
      <c r="X260" s="349"/>
      <c r="Y260" s="349"/>
      <c r="Z260" s="349"/>
      <c r="AA260" s="349"/>
      <c r="AB260" s="349"/>
    </row>
    <row r="261" spans="21:28" s="317" customFormat="1">
      <c r="U261" s="349"/>
      <c r="V261" s="349"/>
      <c r="W261" s="349"/>
      <c r="X261" s="349"/>
      <c r="Y261" s="349"/>
      <c r="Z261" s="349"/>
      <c r="AA261" s="349"/>
      <c r="AB261" s="349"/>
    </row>
    <row r="262" spans="21:28" s="317" customFormat="1">
      <c r="U262" s="349"/>
      <c r="V262" s="349"/>
      <c r="W262" s="349"/>
      <c r="X262" s="349"/>
      <c r="Y262" s="349"/>
      <c r="Z262" s="349"/>
      <c r="AA262" s="349"/>
      <c r="AB262" s="349"/>
    </row>
    <row r="263" spans="21:28" s="317" customFormat="1">
      <c r="U263" s="349"/>
      <c r="V263" s="349"/>
      <c r="W263" s="349"/>
      <c r="X263" s="349"/>
      <c r="Y263" s="349"/>
      <c r="Z263" s="349"/>
      <c r="AA263" s="349"/>
      <c r="AB263" s="349"/>
    </row>
    <row r="264" spans="21:28" s="317" customFormat="1">
      <c r="U264" s="349"/>
      <c r="V264" s="349"/>
      <c r="W264" s="349"/>
      <c r="X264" s="349"/>
      <c r="Y264" s="349"/>
      <c r="Z264" s="349"/>
      <c r="AA264" s="349"/>
      <c r="AB264" s="349"/>
    </row>
    <row r="265" spans="21:28" s="317" customFormat="1">
      <c r="U265" s="349"/>
      <c r="V265" s="349"/>
      <c r="W265" s="349"/>
      <c r="X265" s="349"/>
      <c r="Y265" s="349"/>
      <c r="Z265" s="349"/>
      <c r="AA265" s="349"/>
      <c r="AB265" s="349"/>
    </row>
    <row r="266" spans="21:28" s="317" customFormat="1">
      <c r="U266" s="349"/>
      <c r="V266" s="349"/>
      <c r="W266" s="349"/>
      <c r="X266" s="349"/>
      <c r="Y266" s="349"/>
      <c r="Z266" s="349"/>
      <c r="AA266" s="349"/>
      <c r="AB266" s="349"/>
    </row>
    <row r="267" spans="21:28" s="317" customFormat="1">
      <c r="U267" s="349"/>
      <c r="V267" s="349"/>
      <c r="W267" s="349"/>
      <c r="X267" s="349"/>
      <c r="Y267" s="349"/>
      <c r="Z267" s="349"/>
      <c r="AA267" s="349"/>
      <c r="AB267" s="349"/>
    </row>
    <row r="268" spans="21:28" s="317" customFormat="1">
      <c r="U268" s="349"/>
      <c r="V268" s="349"/>
      <c r="W268" s="349"/>
      <c r="X268" s="349"/>
      <c r="Y268" s="349"/>
      <c r="Z268" s="349"/>
      <c r="AA268" s="349"/>
      <c r="AB268" s="349"/>
    </row>
    <row r="269" spans="21:28" s="317" customFormat="1">
      <c r="U269" s="349"/>
      <c r="V269" s="349"/>
      <c r="W269" s="349"/>
      <c r="X269" s="349"/>
      <c r="Y269" s="349"/>
      <c r="Z269" s="349"/>
      <c r="AA269" s="349"/>
      <c r="AB269" s="349"/>
    </row>
    <row r="270" spans="21:28" s="317" customFormat="1">
      <c r="U270" s="349"/>
      <c r="V270" s="349"/>
      <c r="W270" s="349"/>
      <c r="X270" s="349"/>
      <c r="Y270" s="349"/>
      <c r="Z270" s="349"/>
      <c r="AA270" s="349"/>
      <c r="AB270" s="349"/>
    </row>
    <row r="271" spans="21:28" s="317" customFormat="1">
      <c r="U271" s="349"/>
      <c r="V271" s="349"/>
      <c r="W271" s="349"/>
      <c r="X271" s="349"/>
      <c r="Y271" s="349"/>
      <c r="Z271" s="349"/>
      <c r="AA271" s="349"/>
      <c r="AB271" s="349"/>
    </row>
    <row r="272" spans="21:28" s="317" customFormat="1">
      <c r="U272" s="349"/>
      <c r="V272" s="349"/>
      <c r="W272" s="349"/>
      <c r="X272" s="349"/>
      <c r="Y272" s="349"/>
      <c r="Z272" s="349"/>
      <c r="AA272" s="349"/>
      <c r="AB272" s="349"/>
    </row>
    <row r="273" spans="21:28" s="317" customFormat="1">
      <c r="U273" s="349"/>
      <c r="V273" s="349"/>
      <c r="W273" s="349"/>
      <c r="X273" s="349"/>
      <c r="Y273" s="349"/>
      <c r="Z273" s="349"/>
      <c r="AA273" s="349"/>
      <c r="AB273" s="349"/>
    </row>
    <row r="274" spans="21:28" s="317" customFormat="1">
      <c r="U274" s="349"/>
      <c r="V274" s="349"/>
      <c r="W274" s="349"/>
      <c r="X274" s="349"/>
      <c r="Y274" s="349"/>
      <c r="Z274" s="349"/>
      <c r="AA274" s="349"/>
      <c r="AB274" s="349"/>
    </row>
    <row r="275" spans="21:28" s="317" customFormat="1">
      <c r="U275" s="349"/>
      <c r="V275" s="349"/>
      <c r="W275" s="349"/>
      <c r="X275" s="349"/>
      <c r="Y275" s="349"/>
      <c r="Z275" s="349"/>
      <c r="AA275" s="349"/>
      <c r="AB275" s="349"/>
    </row>
    <row r="276" spans="21:28" s="317" customFormat="1">
      <c r="U276" s="349"/>
      <c r="V276" s="349"/>
      <c r="W276" s="349"/>
      <c r="X276" s="349"/>
      <c r="Y276" s="349"/>
      <c r="Z276" s="349"/>
      <c r="AA276" s="349"/>
      <c r="AB276" s="349"/>
    </row>
    <row r="277" spans="21:28" s="317" customFormat="1">
      <c r="U277" s="349"/>
      <c r="V277" s="349"/>
      <c r="W277" s="349"/>
      <c r="X277" s="349"/>
      <c r="Y277" s="349"/>
      <c r="Z277" s="349"/>
      <c r="AA277" s="349"/>
      <c r="AB277" s="349"/>
    </row>
    <row r="278" spans="21:28" s="317" customFormat="1">
      <c r="U278" s="349"/>
      <c r="V278" s="349"/>
      <c r="W278" s="349"/>
      <c r="X278" s="349"/>
      <c r="Y278" s="349"/>
      <c r="Z278" s="349"/>
      <c r="AA278" s="349"/>
      <c r="AB278" s="349"/>
    </row>
    <row r="279" spans="21:28" s="317" customFormat="1">
      <c r="U279" s="349"/>
      <c r="V279" s="349"/>
      <c r="W279" s="349"/>
      <c r="X279" s="349"/>
      <c r="Y279" s="349"/>
      <c r="Z279" s="349"/>
      <c r="AA279" s="349"/>
      <c r="AB279" s="349"/>
    </row>
    <row r="280" spans="21:28" s="317" customFormat="1">
      <c r="U280" s="349"/>
      <c r="V280" s="349"/>
      <c r="W280" s="349"/>
      <c r="X280" s="349"/>
      <c r="Y280" s="349"/>
      <c r="Z280" s="349"/>
      <c r="AA280" s="349"/>
      <c r="AB280" s="349"/>
    </row>
    <row r="281" spans="21:28" s="317" customFormat="1">
      <c r="U281" s="349"/>
      <c r="V281" s="349"/>
      <c r="W281" s="349"/>
      <c r="X281" s="349"/>
      <c r="Y281" s="349"/>
      <c r="Z281" s="349"/>
      <c r="AA281" s="349"/>
      <c r="AB281" s="349"/>
    </row>
    <row r="282" spans="21:28" s="317" customFormat="1">
      <c r="U282" s="349"/>
      <c r="V282" s="349"/>
      <c r="W282" s="349"/>
      <c r="X282" s="349"/>
      <c r="Y282" s="349"/>
      <c r="Z282" s="349"/>
      <c r="AA282" s="349"/>
      <c r="AB282" s="349"/>
    </row>
    <row r="283" spans="21:28" s="317" customFormat="1">
      <c r="U283" s="349"/>
      <c r="V283" s="349"/>
      <c r="W283" s="349"/>
      <c r="X283" s="349"/>
      <c r="Y283" s="349"/>
      <c r="Z283" s="349"/>
      <c r="AA283" s="349"/>
      <c r="AB283" s="349"/>
    </row>
    <row r="284" spans="21:28" s="317" customFormat="1">
      <c r="U284" s="349"/>
      <c r="V284" s="349"/>
      <c r="W284" s="349"/>
      <c r="X284" s="349"/>
      <c r="Y284" s="349"/>
      <c r="Z284" s="349"/>
      <c r="AA284" s="349"/>
      <c r="AB284" s="349"/>
    </row>
    <row r="285" spans="21:28" s="317" customFormat="1">
      <c r="U285" s="349"/>
      <c r="V285" s="349"/>
      <c r="W285" s="349"/>
      <c r="X285" s="349"/>
      <c r="Y285" s="349"/>
      <c r="Z285" s="349"/>
      <c r="AA285" s="349"/>
      <c r="AB285" s="349"/>
    </row>
    <row r="286" spans="21:28" s="317" customFormat="1">
      <c r="U286" s="349"/>
      <c r="V286" s="349"/>
      <c r="W286" s="349"/>
      <c r="X286" s="349"/>
      <c r="Y286" s="349"/>
      <c r="Z286" s="349"/>
      <c r="AA286" s="349"/>
      <c r="AB286" s="349"/>
    </row>
    <row r="287" spans="21:28" s="317" customFormat="1">
      <c r="U287" s="349"/>
      <c r="V287" s="349"/>
      <c r="W287" s="349"/>
      <c r="X287" s="349"/>
      <c r="Y287" s="349"/>
      <c r="Z287" s="349"/>
      <c r="AA287" s="349"/>
      <c r="AB287" s="349"/>
    </row>
    <row r="288" spans="21:28" s="317" customFormat="1">
      <c r="U288" s="349"/>
      <c r="V288" s="349"/>
      <c r="W288" s="349"/>
      <c r="X288" s="349"/>
      <c r="Y288" s="349"/>
      <c r="Z288" s="349"/>
      <c r="AA288" s="349"/>
      <c r="AB288" s="349"/>
    </row>
    <row r="289" spans="21:28" s="317" customFormat="1">
      <c r="U289" s="349"/>
      <c r="V289" s="349"/>
      <c r="W289" s="349"/>
      <c r="X289" s="349"/>
      <c r="Y289" s="349"/>
      <c r="Z289" s="349"/>
      <c r="AA289" s="349"/>
      <c r="AB289" s="349"/>
    </row>
    <row r="290" spans="21:28" s="317" customFormat="1">
      <c r="U290" s="349"/>
      <c r="V290" s="349"/>
      <c r="W290" s="349"/>
      <c r="X290" s="349"/>
      <c r="Y290" s="349"/>
      <c r="Z290" s="349"/>
      <c r="AA290" s="349"/>
      <c r="AB290" s="349"/>
    </row>
    <row r="291" spans="21:28" s="317" customFormat="1">
      <c r="U291" s="349"/>
      <c r="V291" s="349"/>
      <c r="W291" s="349"/>
      <c r="X291" s="349"/>
      <c r="Y291" s="349"/>
      <c r="Z291" s="349"/>
      <c r="AA291" s="349"/>
      <c r="AB291" s="349"/>
    </row>
    <row r="292" spans="21:28" s="317" customFormat="1">
      <c r="U292" s="349"/>
      <c r="V292" s="349"/>
      <c r="W292" s="349"/>
      <c r="X292" s="349"/>
      <c r="Y292" s="349"/>
      <c r="Z292" s="349"/>
      <c r="AA292" s="349"/>
      <c r="AB292" s="349"/>
    </row>
    <row r="293" spans="21:28" s="317" customFormat="1">
      <c r="U293" s="349"/>
      <c r="V293" s="349"/>
      <c r="W293" s="349"/>
      <c r="X293" s="349"/>
      <c r="Y293" s="349"/>
      <c r="Z293" s="349"/>
      <c r="AA293" s="349"/>
      <c r="AB293" s="349"/>
    </row>
    <row r="294" spans="21:28" s="317" customFormat="1">
      <c r="U294" s="349"/>
      <c r="V294" s="349"/>
      <c r="W294" s="349"/>
      <c r="X294" s="349"/>
      <c r="Y294" s="349"/>
      <c r="Z294" s="349"/>
      <c r="AA294" s="349"/>
      <c r="AB294" s="349"/>
    </row>
    <row r="295" spans="21:28" s="317" customFormat="1">
      <c r="U295" s="349"/>
      <c r="V295" s="349"/>
      <c r="W295" s="349"/>
      <c r="X295" s="349"/>
      <c r="Y295" s="349"/>
      <c r="Z295" s="349"/>
      <c r="AA295" s="349"/>
      <c r="AB295" s="349"/>
    </row>
    <row r="296" spans="21:28" s="317" customFormat="1">
      <c r="U296" s="349"/>
      <c r="V296" s="349"/>
      <c r="W296" s="349"/>
      <c r="X296" s="349"/>
      <c r="Y296" s="349"/>
      <c r="Z296" s="349"/>
      <c r="AA296" s="349"/>
      <c r="AB296" s="349"/>
    </row>
    <row r="297" spans="21:28" s="317" customFormat="1">
      <c r="U297" s="349"/>
      <c r="V297" s="349"/>
      <c r="W297" s="349"/>
      <c r="X297" s="349"/>
      <c r="Y297" s="349"/>
      <c r="Z297" s="349"/>
      <c r="AA297" s="349"/>
      <c r="AB297" s="349"/>
    </row>
    <row r="298" spans="21:28" s="317" customFormat="1">
      <c r="U298" s="349"/>
      <c r="V298" s="349"/>
      <c r="W298" s="349"/>
      <c r="X298" s="349"/>
      <c r="Y298" s="349"/>
      <c r="Z298" s="349"/>
      <c r="AA298" s="349"/>
      <c r="AB298" s="349"/>
    </row>
    <row r="299" spans="21:28" s="317" customFormat="1">
      <c r="U299" s="349"/>
      <c r="V299" s="349"/>
      <c r="W299" s="349"/>
      <c r="X299" s="349"/>
      <c r="Y299" s="349"/>
      <c r="Z299" s="349"/>
      <c r="AA299" s="349"/>
      <c r="AB299" s="349"/>
    </row>
    <row r="300" spans="21:28" s="317" customFormat="1">
      <c r="U300" s="349"/>
      <c r="V300" s="349"/>
      <c r="W300" s="349"/>
      <c r="X300" s="349"/>
      <c r="Y300" s="349"/>
      <c r="Z300" s="349"/>
      <c r="AA300" s="349"/>
      <c r="AB300" s="349"/>
    </row>
    <row r="301" spans="21:28" s="317" customFormat="1">
      <c r="U301" s="349"/>
      <c r="V301" s="349"/>
      <c r="W301" s="349"/>
      <c r="X301" s="349"/>
      <c r="Y301" s="349"/>
      <c r="Z301" s="349"/>
      <c r="AA301" s="349"/>
      <c r="AB301" s="349"/>
    </row>
    <row r="302" spans="21:28" s="317" customFormat="1">
      <c r="U302" s="349"/>
      <c r="V302" s="349"/>
      <c r="W302" s="349"/>
      <c r="X302" s="349"/>
      <c r="Y302" s="349"/>
      <c r="Z302" s="349"/>
      <c r="AA302" s="349"/>
      <c r="AB302" s="349"/>
    </row>
    <row r="303" spans="21:28" s="317" customFormat="1">
      <c r="U303" s="349"/>
      <c r="V303" s="349"/>
      <c r="W303" s="349"/>
      <c r="X303" s="349"/>
      <c r="Y303" s="349"/>
      <c r="Z303" s="349"/>
      <c r="AA303" s="349"/>
      <c r="AB303" s="349"/>
    </row>
    <row r="304" spans="21:28" s="317" customFormat="1">
      <c r="U304" s="349"/>
      <c r="V304" s="349"/>
      <c r="W304" s="349"/>
      <c r="X304" s="349"/>
      <c r="Y304" s="349"/>
      <c r="Z304" s="349"/>
      <c r="AA304" s="349"/>
      <c r="AB304" s="349"/>
    </row>
    <row r="305" spans="21:28" s="317" customFormat="1">
      <c r="U305" s="349"/>
      <c r="V305" s="349"/>
      <c r="W305" s="349"/>
      <c r="X305" s="349"/>
      <c r="Y305" s="349"/>
      <c r="Z305" s="349"/>
      <c r="AA305" s="349"/>
      <c r="AB305" s="349"/>
    </row>
    <row r="306" spans="21:28" s="317" customFormat="1">
      <c r="U306" s="349"/>
      <c r="V306" s="349"/>
      <c r="W306" s="349"/>
      <c r="X306" s="349"/>
      <c r="Y306" s="349"/>
      <c r="Z306" s="349"/>
      <c r="AA306" s="349"/>
      <c r="AB306" s="349"/>
    </row>
    <row r="307" spans="21:28" s="317" customFormat="1">
      <c r="U307" s="349"/>
      <c r="V307" s="349"/>
      <c r="W307" s="349"/>
      <c r="X307" s="349"/>
      <c r="Y307" s="349"/>
      <c r="Z307" s="349"/>
      <c r="AA307" s="349"/>
      <c r="AB307" s="349"/>
    </row>
    <row r="308" spans="21:28" s="317" customFormat="1">
      <c r="U308" s="349"/>
      <c r="V308" s="349"/>
      <c r="W308" s="349"/>
      <c r="X308" s="349"/>
      <c r="Y308" s="349"/>
      <c r="Z308" s="349"/>
      <c r="AA308" s="349"/>
      <c r="AB308" s="349"/>
    </row>
    <row r="309" spans="21:28" s="317" customFormat="1">
      <c r="U309" s="349"/>
      <c r="V309" s="349"/>
      <c r="W309" s="349"/>
      <c r="X309" s="349"/>
      <c r="Y309" s="349"/>
      <c r="Z309" s="349"/>
      <c r="AA309" s="349"/>
      <c r="AB309" s="349"/>
    </row>
    <row r="310" spans="21:28" s="317" customFormat="1">
      <c r="U310" s="349"/>
      <c r="V310" s="349"/>
      <c r="W310" s="349"/>
      <c r="X310" s="349"/>
      <c r="Y310" s="349"/>
      <c r="Z310" s="349"/>
      <c r="AA310" s="349"/>
      <c r="AB310" s="349"/>
    </row>
    <row r="311" spans="21:28" s="317" customFormat="1">
      <c r="U311" s="349"/>
      <c r="V311" s="349"/>
      <c r="W311" s="349"/>
      <c r="X311" s="349"/>
      <c r="Y311" s="349"/>
      <c r="Z311" s="349"/>
      <c r="AA311" s="349"/>
      <c r="AB311" s="349"/>
    </row>
    <row r="312" spans="21:28" s="317" customFormat="1">
      <c r="U312" s="349"/>
      <c r="V312" s="349"/>
      <c r="W312" s="349"/>
      <c r="X312" s="349"/>
      <c r="Y312" s="349"/>
      <c r="Z312" s="349"/>
      <c r="AA312" s="349"/>
      <c r="AB312" s="349"/>
    </row>
    <row r="313" spans="21:28" s="317" customFormat="1">
      <c r="U313" s="349"/>
      <c r="V313" s="349"/>
      <c r="W313" s="349"/>
      <c r="X313" s="349"/>
      <c r="Y313" s="349"/>
      <c r="Z313" s="349"/>
      <c r="AA313" s="349"/>
      <c r="AB313" s="349"/>
    </row>
    <row r="314" spans="21:28" s="317" customFormat="1">
      <c r="U314" s="349"/>
      <c r="V314" s="349"/>
      <c r="W314" s="349"/>
      <c r="X314" s="349"/>
      <c r="Y314" s="349"/>
      <c r="Z314" s="349"/>
      <c r="AA314" s="349"/>
      <c r="AB314" s="349"/>
    </row>
    <row r="315" spans="21:28" s="317" customFormat="1">
      <c r="U315" s="349"/>
      <c r="V315" s="349"/>
      <c r="W315" s="349"/>
      <c r="X315" s="349"/>
      <c r="Y315" s="349"/>
      <c r="Z315" s="349"/>
      <c r="AA315" s="349"/>
      <c r="AB315" s="349"/>
    </row>
    <row r="316" spans="21:28" s="317" customFormat="1">
      <c r="U316" s="349"/>
      <c r="V316" s="349"/>
      <c r="W316" s="349"/>
      <c r="X316" s="349"/>
      <c r="Y316" s="349"/>
      <c r="Z316" s="349"/>
      <c r="AA316" s="349"/>
      <c r="AB316" s="349"/>
    </row>
    <row r="317" spans="21:28" s="317" customFormat="1">
      <c r="U317" s="349"/>
      <c r="V317" s="349"/>
      <c r="W317" s="349"/>
      <c r="X317" s="349"/>
      <c r="Y317" s="349"/>
      <c r="Z317" s="349"/>
      <c r="AA317" s="349"/>
      <c r="AB317" s="349"/>
    </row>
    <row r="318" spans="21:28" s="317" customFormat="1">
      <c r="U318" s="349"/>
      <c r="V318" s="349"/>
      <c r="W318" s="349"/>
      <c r="X318" s="349"/>
      <c r="Y318" s="349"/>
      <c r="Z318" s="349"/>
      <c r="AA318" s="349"/>
      <c r="AB318" s="349"/>
    </row>
    <row r="319" spans="21:28" s="317" customFormat="1">
      <c r="U319" s="349"/>
      <c r="V319" s="349"/>
      <c r="W319" s="349"/>
      <c r="X319" s="349"/>
      <c r="Y319" s="349"/>
      <c r="Z319" s="349"/>
      <c r="AA319" s="349"/>
      <c r="AB319" s="349"/>
    </row>
    <row r="320" spans="21:28" s="317" customFormat="1">
      <c r="U320" s="349"/>
      <c r="V320" s="349"/>
      <c r="W320" s="349"/>
      <c r="X320" s="349"/>
      <c r="Y320" s="349"/>
      <c r="Z320" s="349"/>
      <c r="AA320" s="349"/>
      <c r="AB320" s="349"/>
    </row>
    <row r="321" spans="21:28" s="317" customFormat="1">
      <c r="U321" s="349"/>
      <c r="V321" s="349"/>
      <c r="W321" s="349"/>
      <c r="X321" s="349"/>
      <c r="Y321" s="349"/>
      <c r="Z321" s="349"/>
      <c r="AA321" s="349"/>
      <c r="AB321" s="349"/>
    </row>
    <row r="322" spans="21:28" s="317" customFormat="1">
      <c r="U322" s="349"/>
      <c r="V322" s="349"/>
      <c r="W322" s="349"/>
      <c r="X322" s="349"/>
      <c r="Y322" s="349"/>
      <c r="Z322" s="349"/>
      <c r="AA322" s="349"/>
      <c r="AB322" s="349"/>
    </row>
    <row r="323" spans="21:28" s="317" customFormat="1">
      <c r="U323" s="349"/>
      <c r="V323" s="349"/>
      <c r="W323" s="349"/>
      <c r="X323" s="349"/>
      <c r="Y323" s="349"/>
      <c r="Z323" s="349"/>
      <c r="AA323" s="349"/>
      <c r="AB323" s="349"/>
    </row>
    <row r="324" spans="21:28" s="317" customFormat="1">
      <c r="U324" s="349"/>
      <c r="V324" s="349"/>
      <c r="W324" s="349"/>
      <c r="X324" s="349"/>
      <c r="Y324" s="349"/>
      <c r="Z324" s="349"/>
      <c r="AA324" s="349"/>
      <c r="AB324" s="349"/>
    </row>
    <row r="325" spans="21:28" s="317" customFormat="1">
      <c r="U325" s="349"/>
      <c r="V325" s="349"/>
      <c r="W325" s="349"/>
      <c r="X325" s="349"/>
      <c r="Y325" s="349"/>
      <c r="Z325" s="349"/>
      <c r="AA325" s="349"/>
      <c r="AB325" s="349"/>
    </row>
    <row r="326" spans="21:28" s="317" customFormat="1">
      <c r="U326" s="349"/>
      <c r="V326" s="349"/>
      <c r="W326" s="349"/>
      <c r="X326" s="349"/>
      <c r="Y326" s="349"/>
      <c r="Z326" s="349"/>
      <c r="AA326" s="349"/>
      <c r="AB326" s="349"/>
    </row>
    <row r="327" spans="21:28" s="317" customFormat="1">
      <c r="U327" s="349"/>
      <c r="V327" s="349"/>
      <c r="W327" s="349"/>
      <c r="X327" s="349"/>
      <c r="Y327" s="349"/>
      <c r="Z327" s="349"/>
      <c r="AA327" s="349"/>
      <c r="AB327" s="349"/>
    </row>
    <row r="328" spans="21:28" s="317" customFormat="1">
      <c r="U328" s="349"/>
      <c r="V328" s="349"/>
      <c r="W328" s="349"/>
      <c r="X328" s="349"/>
      <c r="Y328" s="349"/>
      <c r="Z328" s="349"/>
      <c r="AA328" s="349"/>
      <c r="AB328" s="349"/>
    </row>
    <row r="329" spans="21:28" s="317" customFormat="1">
      <c r="U329" s="349"/>
      <c r="V329" s="349"/>
      <c r="W329" s="349"/>
      <c r="X329" s="349"/>
      <c r="Y329" s="349"/>
      <c r="Z329" s="349"/>
      <c r="AA329" s="349"/>
      <c r="AB329" s="349"/>
    </row>
    <row r="330" spans="21:28" s="317" customFormat="1">
      <c r="U330" s="349"/>
      <c r="V330" s="349"/>
      <c r="W330" s="349"/>
      <c r="X330" s="349"/>
      <c r="Y330" s="349"/>
      <c r="Z330" s="349"/>
      <c r="AA330" s="349"/>
      <c r="AB330" s="349"/>
    </row>
    <row r="331" spans="21:28" s="317" customFormat="1">
      <c r="U331" s="349"/>
      <c r="V331" s="349"/>
      <c r="W331" s="349"/>
      <c r="X331" s="349"/>
      <c r="Y331" s="349"/>
      <c r="Z331" s="349"/>
      <c r="AA331" s="349"/>
      <c r="AB331" s="349"/>
    </row>
    <row r="332" spans="21:28" s="317" customFormat="1">
      <c r="U332" s="349"/>
      <c r="V332" s="349"/>
      <c r="W332" s="349"/>
      <c r="X332" s="349"/>
      <c r="Y332" s="349"/>
      <c r="Z332" s="349"/>
      <c r="AA332" s="349"/>
      <c r="AB332" s="349"/>
    </row>
    <row r="333" spans="21:28" s="317" customFormat="1">
      <c r="U333" s="349"/>
      <c r="V333" s="349"/>
      <c r="W333" s="349"/>
      <c r="X333" s="349"/>
      <c r="Y333" s="349"/>
      <c r="Z333" s="349"/>
      <c r="AA333" s="349"/>
      <c r="AB333" s="349"/>
    </row>
    <row r="334" spans="21:28" s="317" customFormat="1">
      <c r="U334" s="349"/>
      <c r="V334" s="349"/>
      <c r="W334" s="349"/>
      <c r="X334" s="349"/>
      <c r="Y334" s="349"/>
      <c r="Z334" s="349"/>
      <c r="AA334" s="349"/>
      <c r="AB334" s="349"/>
    </row>
    <row r="335" spans="21:28" s="317" customFormat="1">
      <c r="U335" s="349"/>
      <c r="V335" s="349"/>
      <c r="W335" s="349"/>
      <c r="X335" s="349"/>
      <c r="Y335" s="349"/>
      <c r="Z335" s="349"/>
      <c r="AA335" s="349"/>
      <c r="AB335" s="349"/>
    </row>
    <row r="336" spans="21:28" s="317" customFormat="1">
      <c r="U336" s="349"/>
      <c r="V336" s="349"/>
      <c r="W336" s="349"/>
      <c r="X336" s="349"/>
      <c r="Y336" s="349"/>
      <c r="Z336" s="349"/>
      <c r="AA336" s="349"/>
      <c r="AB336" s="349"/>
    </row>
  </sheetData>
  <mergeCells count="61">
    <mergeCell ref="V41:AA41"/>
    <mergeCell ref="V24:AA24"/>
    <mergeCell ref="V29:AA29"/>
    <mergeCell ref="V30:AA30"/>
    <mergeCell ref="V35:AA35"/>
    <mergeCell ref="V36:AA36"/>
    <mergeCell ref="V23:AA23"/>
    <mergeCell ref="P6:R6"/>
    <mergeCell ref="C8:E8"/>
    <mergeCell ref="C9:F9"/>
    <mergeCell ref="O9:R9"/>
    <mergeCell ref="C10:F10"/>
    <mergeCell ref="O11:R11"/>
    <mergeCell ref="C12:F12"/>
    <mergeCell ref="O12:R12"/>
    <mergeCell ref="C13:F13"/>
    <mergeCell ref="N13:R13"/>
    <mergeCell ref="C15:D16"/>
    <mergeCell ref="S15:S16"/>
    <mergeCell ref="C92:D93"/>
    <mergeCell ref="C57:D57"/>
    <mergeCell ref="C41:D41"/>
    <mergeCell ref="C4:E4"/>
    <mergeCell ref="C11:F11"/>
    <mergeCell ref="B14:S14"/>
    <mergeCell ref="B15:B16"/>
    <mergeCell ref="C65:D65"/>
    <mergeCell ref="C59:D59"/>
    <mergeCell ref="C61:D61"/>
    <mergeCell ref="C39:D39"/>
    <mergeCell ref="C90:D90"/>
    <mergeCell ref="C43:D43"/>
    <mergeCell ref="C24:D24"/>
    <mergeCell ref="C30:D30"/>
    <mergeCell ref="C33:D33"/>
    <mergeCell ref="A1:A99"/>
    <mergeCell ref="C45:D45"/>
    <mergeCell ref="C47:D47"/>
    <mergeCell ref="C49:D49"/>
    <mergeCell ref="C51:D51"/>
    <mergeCell ref="C53:D53"/>
    <mergeCell ref="C55:D55"/>
    <mergeCell ref="C19:D19"/>
    <mergeCell ref="C79:D80"/>
    <mergeCell ref="C26:D26"/>
    <mergeCell ref="C94:D95"/>
    <mergeCell ref="C35:D35"/>
    <mergeCell ref="B96:D96"/>
    <mergeCell ref="B97:D97"/>
    <mergeCell ref="B98:D98"/>
    <mergeCell ref="B99:D99"/>
    <mergeCell ref="C63:D63"/>
    <mergeCell ref="L2:N2"/>
    <mergeCell ref="L3:N3"/>
    <mergeCell ref="C37:D37"/>
    <mergeCell ref="E15:E16"/>
    <mergeCell ref="F15:F16"/>
    <mergeCell ref="G15:R15"/>
    <mergeCell ref="C22:D22"/>
    <mergeCell ref="C17:D17"/>
    <mergeCell ref="C21:D21"/>
  </mergeCells>
  <pageMargins left="2.8740157480314963" right="0.70866141732283472" top="0.55118110236220474" bottom="0.15748031496062992" header="0.11811023622047245" footer="0.11811023622047245"/>
  <pageSetup paperSize="8" scale="55"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223"/>
  <sheetViews>
    <sheetView workbookViewId="0">
      <selection activeCell="M21" sqref="M21"/>
    </sheetView>
  </sheetViews>
  <sheetFormatPr defaultRowHeight="15"/>
  <cols>
    <col min="1" max="1" width="2.7109375" style="317" customWidth="1"/>
    <col min="2" max="2" width="18.28515625" style="224" customWidth="1"/>
    <col min="3" max="3" width="51.140625" style="224" customWidth="1"/>
    <col min="4" max="5" width="9.140625" style="224"/>
    <col min="6" max="6" width="1.85546875" style="317" customWidth="1"/>
    <col min="7" max="7" width="9.140625" style="363"/>
    <col min="8" max="8" width="11.28515625" style="363" customWidth="1"/>
    <col min="9" max="12" width="9.140625" style="363"/>
    <col min="13" max="45" width="9.140625" style="317"/>
    <col min="46" max="16384" width="9.140625" style="224"/>
  </cols>
  <sheetData>
    <row r="1" spans="2:6" ht="16.5" customHeight="1">
      <c r="B1" s="290"/>
      <c r="C1" s="291"/>
      <c r="D1" s="291"/>
      <c r="E1" s="291"/>
      <c r="F1" s="362"/>
    </row>
    <row r="2" spans="2:6" ht="16.5" customHeight="1">
      <c r="B2" s="594" t="s">
        <v>2735</v>
      </c>
      <c r="C2" s="594"/>
      <c r="D2" s="594"/>
      <c r="E2" s="594"/>
      <c r="F2" s="362"/>
    </row>
    <row r="3" spans="2:6" ht="16.5" customHeight="1">
      <c r="B3" s="290"/>
      <c r="C3" s="291"/>
      <c r="D3" s="291"/>
      <c r="E3" s="291"/>
      <c r="F3" s="362"/>
    </row>
    <row r="4" spans="2:6" ht="16.5" customHeight="1">
      <c r="B4" s="595" t="s">
        <v>2736</v>
      </c>
      <c r="C4" s="596"/>
      <c r="D4" s="596"/>
      <c r="E4" s="597"/>
      <c r="F4" s="362"/>
    </row>
    <row r="5" spans="2:6" ht="16.5" customHeight="1">
      <c r="B5" s="595"/>
      <c r="C5" s="596"/>
      <c r="D5" s="596"/>
      <c r="E5" s="597"/>
      <c r="F5" s="362"/>
    </row>
    <row r="6" spans="2:6" ht="16.5" customHeight="1">
      <c r="B6" s="598"/>
      <c r="C6" s="599"/>
      <c r="D6" s="599"/>
      <c r="E6" s="600"/>
      <c r="F6" s="362"/>
    </row>
    <row r="7" spans="2:6" ht="16.5" customHeight="1">
      <c r="B7" s="601"/>
      <c r="C7" s="602"/>
      <c r="D7" s="602"/>
      <c r="E7" s="603"/>
      <c r="F7" s="362"/>
    </row>
    <row r="8" spans="2:6" ht="16.5" customHeight="1">
      <c r="B8" s="610" t="s">
        <v>2737</v>
      </c>
      <c r="C8" s="610"/>
      <c r="D8" s="611" t="s">
        <v>2738</v>
      </c>
      <c r="E8" s="611"/>
      <c r="F8" s="362"/>
    </row>
    <row r="9" spans="2:6" ht="16.5" customHeight="1">
      <c r="B9" s="612" t="s">
        <v>2739</v>
      </c>
      <c r="C9" s="612"/>
      <c r="D9" s="613" t="s">
        <v>2740</v>
      </c>
      <c r="E9" s="613"/>
      <c r="F9" s="362"/>
    </row>
    <row r="10" spans="2:6">
      <c r="B10" s="616"/>
      <c r="C10" s="617"/>
      <c r="D10" s="617"/>
      <c r="E10" s="618"/>
    </row>
    <row r="11" spans="2:6">
      <c r="B11" s="614" t="s">
        <v>1197</v>
      </c>
      <c r="C11" s="614" t="s">
        <v>1198</v>
      </c>
      <c r="D11" s="292"/>
      <c r="E11" s="591" t="s">
        <v>1159</v>
      </c>
    </row>
    <row r="12" spans="2:6">
      <c r="B12" s="615"/>
      <c r="C12" s="615"/>
      <c r="D12" s="293"/>
      <c r="E12" s="592"/>
    </row>
    <row r="13" spans="2:6">
      <c r="B13" s="373"/>
      <c r="C13" s="374"/>
      <c r="D13" s="374"/>
      <c r="E13" s="375"/>
    </row>
    <row r="14" spans="2:6">
      <c r="B14" s="375">
        <v>1</v>
      </c>
      <c r="C14" s="376" t="s">
        <v>2741</v>
      </c>
      <c r="D14" s="376"/>
      <c r="E14" s="377">
        <v>4</v>
      </c>
    </row>
    <row r="15" spans="2:6">
      <c r="B15" s="378"/>
      <c r="C15" s="379"/>
      <c r="D15" s="379"/>
      <c r="E15" s="380" t="s">
        <v>1155</v>
      </c>
    </row>
    <row r="16" spans="2:6">
      <c r="B16" s="375">
        <v>2</v>
      </c>
      <c r="C16" s="376" t="s">
        <v>2742</v>
      </c>
      <c r="D16" s="376"/>
      <c r="E16" s="377">
        <v>0.62</v>
      </c>
    </row>
    <row r="17" spans="2:8">
      <c r="B17" s="375"/>
      <c r="C17" s="376"/>
      <c r="D17" s="376"/>
      <c r="E17" s="377"/>
    </row>
    <row r="18" spans="2:8">
      <c r="B18" s="375">
        <v>3</v>
      </c>
      <c r="C18" s="376" t="s">
        <v>2743</v>
      </c>
      <c r="D18" s="376"/>
      <c r="E18" s="377">
        <v>1.04</v>
      </c>
    </row>
    <row r="19" spans="2:8">
      <c r="B19" s="375"/>
      <c r="C19" s="376"/>
      <c r="D19" s="376"/>
      <c r="E19" s="377"/>
    </row>
    <row r="20" spans="2:8">
      <c r="B20" s="375">
        <v>4</v>
      </c>
      <c r="C20" s="376" t="s">
        <v>2744</v>
      </c>
      <c r="D20" s="376"/>
      <c r="E20" s="377">
        <v>1.05</v>
      </c>
      <c r="H20" s="364"/>
    </row>
    <row r="21" spans="2:8">
      <c r="B21" s="378"/>
      <c r="C21" s="379"/>
      <c r="D21" s="379"/>
      <c r="E21" s="380"/>
    </row>
    <row r="22" spans="2:8">
      <c r="B22" s="375">
        <v>5</v>
      </c>
      <c r="C22" s="376" t="s">
        <v>2745</v>
      </c>
      <c r="D22" s="367"/>
      <c r="E22" s="381">
        <v>7.4</v>
      </c>
    </row>
    <row r="23" spans="2:8">
      <c r="B23" s="375"/>
      <c r="C23" s="376"/>
      <c r="D23" s="376"/>
      <c r="E23" s="377"/>
    </row>
    <row r="24" spans="2:8">
      <c r="B24" s="375">
        <v>6</v>
      </c>
      <c r="C24" s="376" t="s">
        <v>2746</v>
      </c>
      <c r="D24" s="376"/>
      <c r="E24" s="377">
        <f>SUM(D25:D27)</f>
        <v>4.6500000000000004</v>
      </c>
    </row>
    <row r="25" spans="2:8">
      <c r="B25" s="378">
        <v>41278</v>
      </c>
      <c r="C25" s="382" t="s">
        <v>1199</v>
      </c>
      <c r="D25" s="380">
        <v>1</v>
      </c>
      <c r="E25" s="380" t="s">
        <v>1155</v>
      </c>
    </row>
    <row r="26" spans="2:8">
      <c r="B26" s="378">
        <v>41309</v>
      </c>
      <c r="C26" s="379" t="s">
        <v>1200</v>
      </c>
      <c r="D26" s="383">
        <v>0.65</v>
      </c>
      <c r="E26" s="380" t="s">
        <v>1155</v>
      </c>
    </row>
    <row r="27" spans="2:8">
      <c r="B27" s="378">
        <v>41337</v>
      </c>
      <c r="C27" s="379" t="s">
        <v>1201</v>
      </c>
      <c r="D27" s="380">
        <v>3</v>
      </c>
      <c r="E27" s="380" t="s">
        <v>1155</v>
      </c>
    </row>
    <row r="28" spans="2:8">
      <c r="B28" s="378"/>
      <c r="C28" s="379"/>
      <c r="D28" s="379"/>
      <c r="E28" s="380"/>
    </row>
    <row r="29" spans="2:8" ht="20.100000000000001" customHeight="1">
      <c r="B29" s="607" t="s">
        <v>2747</v>
      </c>
      <c r="C29" s="608"/>
      <c r="D29" s="609"/>
      <c r="E29" s="295">
        <v>0.2026</v>
      </c>
    </row>
    <row r="30" spans="2:8">
      <c r="B30" s="604" t="s">
        <v>1155</v>
      </c>
      <c r="C30" s="605"/>
      <c r="D30" s="366"/>
      <c r="E30" s="367"/>
    </row>
    <row r="31" spans="2:8">
      <c r="B31" s="368" t="s">
        <v>1202</v>
      </c>
      <c r="C31" s="516" t="s">
        <v>1203</v>
      </c>
      <c r="D31" s="516"/>
      <c r="E31" s="606"/>
    </row>
    <row r="32" spans="2:8">
      <c r="B32" s="368"/>
      <c r="C32" s="317"/>
      <c r="D32" s="317"/>
      <c r="E32" s="369"/>
    </row>
    <row r="33" spans="1:45">
      <c r="B33" s="368"/>
      <c r="C33" s="317"/>
      <c r="D33" s="317"/>
      <c r="E33" s="369"/>
    </row>
    <row r="34" spans="1:45">
      <c r="B34" s="368"/>
      <c r="C34" s="317"/>
      <c r="D34" s="317"/>
      <c r="E34" s="369"/>
    </row>
    <row r="35" spans="1:45">
      <c r="B35" s="368"/>
      <c r="C35" s="317"/>
      <c r="D35" s="317"/>
      <c r="E35" s="369"/>
    </row>
    <row r="36" spans="1:45">
      <c r="B36" s="368"/>
      <c r="C36" s="317"/>
      <c r="D36" s="317"/>
      <c r="E36" s="369"/>
    </row>
    <row r="37" spans="1:45">
      <c r="B37" s="368"/>
      <c r="C37" s="317"/>
      <c r="D37" s="317"/>
      <c r="E37" s="369"/>
    </row>
    <row r="38" spans="1:45">
      <c r="B38" s="370"/>
      <c r="C38" s="371"/>
      <c r="D38" s="371"/>
      <c r="E38" s="372"/>
    </row>
    <row r="39" spans="1:45">
      <c r="B39" s="384"/>
      <c r="C39" s="385"/>
      <c r="D39" s="385"/>
      <c r="E39" s="386"/>
    </row>
    <row r="40" spans="1:45" s="225" customFormat="1" ht="20.100000000000001" customHeight="1">
      <c r="A40" s="305"/>
      <c r="B40" s="593" t="s">
        <v>2748</v>
      </c>
      <c r="C40" s="593"/>
      <c r="D40" s="296" t="s">
        <v>2749</v>
      </c>
      <c r="E40" s="297">
        <v>0.1326</v>
      </c>
      <c r="F40" s="305"/>
      <c r="G40" s="365"/>
      <c r="H40" s="365"/>
      <c r="I40" s="365"/>
      <c r="J40" s="365"/>
      <c r="K40" s="365"/>
      <c r="L40" s="36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row>
    <row r="41" spans="1:45" s="317" customFormat="1">
      <c r="G41" s="363"/>
      <c r="H41" s="363"/>
      <c r="I41" s="363"/>
      <c r="J41" s="363"/>
      <c r="K41" s="363"/>
      <c r="L41" s="363"/>
    </row>
    <row r="42" spans="1:45" s="317" customFormat="1">
      <c r="G42" s="363"/>
      <c r="H42" s="363"/>
      <c r="I42" s="363"/>
      <c r="J42" s="363"/>
      <c r="K42" s="363"/>
      <c r="L42" s="363"/>
    </row>
    <row r="43" spans="1:45" s="317" customFormat="1">
      <c r="G43" s="363"/>
      <c r="H43" s="363"/>
      <c r="I43" s="363"/>
      <c r="J43" s="363"/>
      <c r="K43" s="363"/>
      <c r="L43" s="363"/>
    </row>
    <row r="44" spans="1:45" s="317" customFormat="1">
      <c r="G44" s="363"/>
      <c r="H44" s="363"/>
      <c r="I44" s="363"/>
      <c r="J44" s="363"/>
      <c r="K44" s="363"/>
      <c r="L44" s="363"/>
    </row>
    <row r="45" spans="1:45" s="317" customFormat="1">
      <c r="G45" s="363"/>
      <c r="H45" s="363"/>
      <c r="I45" s="363"/>
      <c r="J45" s="363"/>
      <c r="K45" s="363"/>
      <c r="L45" s="363"/>
    </row>
    <row r="46" spans="1:45" s="317" customFormat="1">
      <c r="G46" s="363"/>
      <c r="H46" s="363"/>
      <c r="I46" s="363"/>
      <c r="J46" s="363"/>
      <c r="K46" s="363"/>
      <c r="L46" s="363"/>
    </row>
    <row r="47" spans="1:45" s="317" customFormat="1">
      <c r="G47" s="363"/>
      <c r="H47" s="363"/>
      <c r="I47" s="363"/>
      <c r="J47" s="363"/>
      <c r="K47" s="363"/>
      <c r="L47" s="363"/>
    </row>
    <row r="48" spans="1:45" s="317" customFormat="1">
      <c r="G48" s="363"/>
      <c r="H48" s="363"/>
      <c r="I48" s="363"/>
      <c r="J48" s="363"/>
      <c r="K48" s="363"/>
      <c r="L48" s="363"/>
    </row>
    <row r="49" spans="7:12" s="317" customFormat="1">
      <c r="G49" s="363"/>
      <c r="H49" s="363"/>
      <c r="I49" s="363"/>
      <c r="J49" s="363"/>
      <c r="K49" s="363"/>
      <c r="L49" s="363"/>
    </row>
    <row r="50" spans="7:12" s="317" customFormat="1">
      <c r="G50" s="363"/>
      <c r="H50" s="363"/>
      <c r="I50" s="363"/>
      <c r="J50" s="363"/>
      <c r="K50" s="363"/>
      <c r="L50" s="363"/>
    </row>
    <row r="51" spans="7:12" s="317" customFormat="1">
      <c r="G51" s="363"/>
      <c r="H51" s="363"/>
      <c r="I51" s="363"/>
      <c r="J51" s="363"/>
      <c r="K51" s="363"/>
      <c r="L51" s="363"/>
    </row>
    <row r="52" spans="7:12" s="317" customFormat="1">
      <c r="G52" s="363"/>
      <c r="H52" s="363"/>
      <c r="I52" s="363"/>
      <c r="J52" s="363"/>
      <c r="K52" s="363"/>
      <c r="L52" s="363"/>
    </row>
    <row r="53" spans="7:12" s="317" customFormat="1">
      <c r="G53" s="363"/>
      <c r="H53" s="363"/>
      <c r="I53" s="363"/>
      <c r="J53" s="363"/>
      <c r="K53" s="363"/>
      <c r="L53" s="363"/>
    </row>
    <row r="54" spans="7:12" s="317" customFormat="1">
      <c r="G54" s="363"/>
      <c r="H54" s="363"/>
      <c r="I54" s="363"/>
      <c r="J54" s="363"/>
      <c r="K54" s="363"/>
      <c r="L54" s="363"/>
    </row>
    <row r="55" spans="7:12" s="317" customFormat="1">
      <c r="G55" s="363"/>
      <c r="H55" s="363"/>
      <c r="I55" s="363"/>
      <c r="J55" s="363"/>
      <c r="K55" s="363"/>
      <c r="L55" s="363"/>
    </row>
    <row r="56" spans="7:12" s="317" customFormat="1">
      <c r="G56" s="363"/>
      <c r="H56" s="363"/>
      <c r="I56" s="363"/>
      <c r="J56" s="363"/>
      <c r="K56" s="363"/>
      <c r="L56" s="363"/>
    </row>
    <row r="57" spans="7:12" s="317" customFormat="1">
      <c r="G57" s="363"/>
      <c r="H57" s="363"/>
      <c r="I57" s="363"/>
      <c r="J57" s="363"/>
      <c r="K57" s="363"/>
      <c r="L57" s="363"/>
    </row>
    <row r="58" spans="7:12" s="317" customFormat="1">
      <c r="G58" s="363"/>
      <c r="H58" s="363"/>
      <c r="I58" s="363"/>
      <c r="J58" s="363"/>
      <c r="K58" s="363"/>
      <c r="L58" s="363"/>
    </row>
    <row r="59" spans="7:12" s="317" customFormat="1">
      <c r="G59" s="363"/>
      <c r="H59" s="363"/>
      <c r="I59" s="363"/>
      <c r="J59" s="363"/>
      <c r="K59" s="363"/>
      <c r="L59" s="363"/>
    </row>
    <row r="60" spans="7:12" s="317" customFormat="1">
      <c r="G60" s="363"/>
      <c r="H60" s="363"/>
      <c r="I60" s="363"/>
      <c r="J60" s="363"/>
      <c r="K60" s="363"/>
      <c r="L60" s="363"/>
    </row>
    <row r="61" spans="7:12" s="317" customFormat="1">
      <c r="G61" s="363"/>
      <c r="H61" s="363"/>
      <c r="I61" s="363"/>
      <c r="J61" s="363"/>
      <c r="K61" s="363"/>
      <c r="L61" s="363"/>
    </row>
    <row r="62" spans="7:12" s="317" customFormat="1">
      <c r="G62" s="363"/>
      <c r="H62" s="363"/>
      <c r="I62" s="363"/>
      <c r="J62" s="363"/>
      <c r="K62" s="363"/>
      <c r="L62" s="363"/>
    </row>
    <row r="63" spans="7:12" s="317" customFormat="1">
      <c r="G63" s="363"/>
      <c r="H63" s="363"/>
      <c r="I63" s="363"/>
      <c r="J63" s="363"/>
      <c r="K63" s="363"/>
      <c r="L63" s="363"/>
    </row>
    <row r="64" spans="7:12" s="317" customFormat="1">
      <c r="G64" s="363"/>
      <c r="H64" s="363"/>
      <c r="I64" s="363"/>
      <c r="J64" s="363"/>
      <c r="K64" s="363"/>
      <c r="L64" s="363"/>
    </row>
    <row r="65" spans="7:12" s="317" customFormat="1">
      <c r="G65" s="363"/>
      <c r="H65" s="363"/>
      <c r="I65" s="363"/>
      <c r="J65" s="363"/>
      <c r="K65" s="363"/>
      <c r="L65" s="363"/>
    </row>
    <row r="66" spans="7:12" s="317" customFormat="1">
      <c r="G66" s="363"/>
      <c r="H66" s="363"/>
      <c r="I66" s="363"/>
      <c r="J66" s="363"/>
      <c r="K66" s="363"/>
      <c r="L66" s="363"/>
    </row>
    <row r="67" spans="7:12" s="317" customFormat="1">
      <c r="G67" s="363"/>
      <c r="H67" s="363"/>
      <c r="I67" s="363"/>
      <c r="J67" s="363"/>
      <c r="K67" s="363"/>
      <c r="L67" s="363"/>
    </row>
    <row r="68" spans="7:12" s="317" customFormat="1">
      <c r="G68" s="363"/>
      <c r="H68" s="363"/>
      <c r="I68" s="363"/>
      <c r="J68" s="363"/>
      <c r="K68" s="363"/>
      <c r="L68" s="363"/>
    </row>
    <row r="69" spans="7:12" s="317" customFormat="1">
      <c r="G69" s="363"/>
      <c r="H69" s="363"/>
      <c r="I69" s="363"/>
      <c r="J69" s="363"/>
      <c r="K69" s="363"/>
      <c r="L69" s="363"/>
    </row>
    <row r="70" spans="7:12" s="317" customFormat="1">
      <c r="G70" s="363"/>
      <c r="H70" s="363"/>
      <c r="I70" s="363"/>
      <c r="J70" s="363"/>
      <c r="K70" s="363"/>
      <c r="L70" s="363"/>
    </row>
    <row r="71" spans="7:12" s="317" customFormat="1">
      <c r="G71" s="363"/>
      <c r="H71" s="363"/>
      <c r="I71" s="363"/>
      <c r="J71" s="363"/>
      <c r="K71" s="363"/>
      <c r="L71" s="363"/>
    </row>
    <row r="72" spans="7:12" s="317" customFormat="1">
      <c r="G72" s="363"/>
      <c r="H72" s="363"/>
      <c r="I72" s="363"/>
      <c r="J72" s="363"/>
      <c r="K72" s="363"/>
      <c r="L72" s="363"/>
    </row>
    <row r="73" spans="7:12" s="317" customFormat="1">
      <c r="G73" s="363"/>
      <c r="H73" s="363"/>
      <c r="I73" s="363"/>
      <c r="J73" s="363"/>
      <c r="K73" s="363"/>
      <c r="L73" s="363"/>
    </row>
    <row r="74" spans="7:12" s="317" customFormat="1">
      <c r="G74" s="363"/>
      <c r="H74" s="363"/>
      <c r="I74" s="363"/>
      <c r="J74" s="363"/>
      <c r="K74" s="363"/>
      <c r="L74" s="363"/>
    </row>
    <row r="75" spans="7:12" s="317" customFormat="1">
      <c r="G75" s="363"/>
      <c r="H75" s="363"/>
      <c r="I75" s="363"/>
      <c r="J75" s="363"/>
      <c r="K75" s="363"/>
      <c r="L75" s="363"/>
    </row>
    <row r="76" spans="7:12" s="317" customFormat="1">
      <c r="G76" s="363"/>
      <c r="H76" s="363"/>
      <c r="I76" s="363"/>
      <c r="J76" s="363"/>
      <c r="K76" s="363"/>
      <c r="L76" s="363"/>
    </row>
    <row r="77" spans="7:12" s="317" customFormat="1">
      <c r="G77" s="363"/>
      <c r="H77" s="363"/>
      <c r="I77" s="363"/>
      <c r="J77" s="363"/>
      <c r="K77" s="363"/>
      <c r="L77" s="363"/>
    </row>
    <row r="78" spans="7:12" s="317" customFormat="1">
      <c r="G78" s="363"/>
      <c r="H78" s="363"/>
      <c r="I78" s="363"/>
      <c r="J78" s="363"/>
      <c r="K78" s="363"/>
      <c r="L78" s="363"/>
    </row>
    <row r="79" spans="7:12" s="317" customFormat="1">
      <c r="G79" s="363"/>
      <c r="H79" s="363"/>
      <c r="I79" s="363"/>
      <c r="J79" s="363"/>
      <c r="K79" s="363"/>
      <c r="L79" s="363"/>
    </row>
    <row r="80" spans="7:12" s="317" customFormat="1">
      <c r="G80" s="363"/>
      <c r="H80" s="363"/>
      <c r="I80" s="363"/>
      <c r="J80" s="363"/>
      <c r="K80" s="363"/>
      <c r="L80" s="363"/>
    </row>
    <row r="81" spans="7:12" s="317" customFormat="1">
      <c r="G81" s="363"/>
      <c r="H81" s="363"/>
      <c r="I81" s="363"/>
      <c r="J81" s="363"/>
      <c r="K81" s="363"/>
      <c r="L81" s="363"/>
    </row>
    <row r="82" spans="7:12" s="317" customFormat="1">
      <c r="G82" s="363"/>
      <c r="H82" s="363"/>
      <c r="I82" s="363"/>
      <c r="J82" s="363"/>
      <c r="K82" s="363"/>
      <c r="L82" s="363"/>
    </row>
    <row r="83" spans="7:12" s="317" customFormat="1">
      <c r="G83" s="363"/>
      <c r="H83" s="363"/>
      <c r="I83" s="363"/>
      <c r="J83" s="363"/>
      <c r="K83" s="363"/>
      <c r="L83" s="363"/>
    </row>
    <row r="84" spans="7:12" s="317" customFormat="1">
      <c r="G84" s="363"/>
      <c r="H84" s="363"/>
      <c r="I84" s="363"/>
      <c r="J84" s="363"/>
      <c r="K84" s="363"/>
      <c r="L84" s="363"/>
    </row>
    <row r="85" spans="7:12" s="317" customFormat="1">
      <c r="G85" s="363"/>
      <c r="H85" s="363"/>
      <c r="I85" s="363"/>
      <c r="J85" s="363"/>
      <c r="K85" s="363"/>
      <c r="L85" s="363"/>
    </row>
    <row r="86" spans="7:12" s="317" customFormat="1">
      <c r="G86" s="363"/>
      <c r="H86" s="363"/>
      <c r="I86" s="363"/>
      <c r="J86" s="363"/>
      <c r="K86" s="363"/>
      <c r="L86" s="363"/>
    </row>
    <row r="87" spans="7:12" s="317" customFormat="1">
      <c r="G87" s="363"/>
      <c r="H87" s="363"/>
      <c r="I87" s="363"/>
      <c r="J87" s="363"/>
      <c r="K87" s="363"/>
      <c r="L87" s="363"/>
    </row>
    <row r="88" spans="7:12" s="317" customFormat="1">
      <c r="G88" s="363"/>
      <c r="H88" s="363"/>
      <c r="I88" s="363"/>
      <c r="J88" s="363"/>
      <c r="K88" s="363"/>
      <c r="L88" s="363"/>
    </row>
    <row r="89" spans="7:12" s="317" customFormat="1">
      <c r="G89" s="363"/>
      <c r="H89" s="363"/>
      <c r="I89" s="363"/>
      <c r="J89" s="363"/>
      <c r="K89" s="363"/>
      <c r="L89" s="363"/>
    </row>
    <row r="90" spans="7:12" s="317" customFormat="1">
      <c r="G90" s="363"/>
      <c r="H90" s="363"/>
      <c r="I90" s="363"/>
      <c r="J90" s="363"/>
      <c r="K90" s="363"/>
      <c r="L90" s="363"/>
    </row>
    <row r="91" spans="7:12" s="317" customFormat="1">
      <c r="G91" s="363"/>
      <c r="H91" s="363"/>
      <c r="I91" s="363"/>
      <c r="J91" s="363"/>
      <c r="K91" s="363"/>
      <c r="L91" s="363"/>
    </row>
    <row r="92" spans="7:12" s="317" customFormat="1">
      <c r="G92" s="363"/>
      <c r="H92" s="363"/>
      <c r="I92" s="363"/>
      <c r="J92" s="363"/>
      <c r="K92" s="363"/>
      <c r="L92" s="363"/>
    </row>
    <row r="93" spans="7:12" s="317" customFormat="1">
      <c r="G93" s="363"/>
      <c r="H93" s="363"/>
      <c r="I93" s="363"/>
      <c r="J93" s="363"/>
      <c r="K93" s="363"/>
      <c r="L93" s="363"/>
    </row>
    <row r="94" spans="7:12" s="317" customFormat="1">
      <c r="G94" s="363"/>
      <c r="H94" s="363"/>
      <c r="I94" s="363"/>
      <c r="J94" s="363"/>
      <c r="K94" s="363"/>
      <c r="L94" s="363"/>
    </row>
    <row r="95" spans="7:12" s="317" customFormat="1">
      <c r="G95" s="363"/>
      <c r="H95" s="363"/>
      <c r="I95" s="363"/>
      <c r="J95" s="363"/>
      <c r="K95" s="363"/>
      <c r="L95" s="363"/>
    </row>
    <row r="96" spans="7:12" s="317" customFormat="1">
      <c r="G96" s="363"/>
      <c r="H96" s="363"/>
      <c r="I96" s="363"/>
      <c r="J96" s="363"/>
      <c r="K96" s="363"/>
      <c r="L96" s="363"/>
    </row>
    <row r="97" spans="7:12" s="317" customFormat="1">
      <c r="G97" s="363"/>
      <c r="H97" s="363"/>
      <c r="I97" s="363"/>
      <c r="J97" s="363"/>
      <c r="K97" s="363"/>
      <c r="L97" s="363"/>
    </row>
    <row r="98" spans="7:12" s="317" customFormat="1">
      <c r="G98" s="363"/>
      <c r="H98" s="363"/>
      <c r="I98" s="363"/>
      <c r="J98" s="363"/>
      <c r="K98" s="363"/>
      <c r="L98" s="363"/>
    </row>
    <row r="99" spans="7:12" s="317" customFormat="1">
      <c r="G99" s="363"/>
      <c r="H99" s="363"/>
      <c r="I99" s="363"/>
      <c r="J99" s="363"/>
      <c r="K99" s="363"/>
      <c r="L99" s="363"/>
    </row>
    <row r="100" spans="7:12" s="317" customFormat="1">
      <c r="G100" s="363"/>
      <c r="H100" s="363"/>
      <c r="I100" s="363"/>
      <c r="J100" s="363"/>
      <c r="K100" s="363"/>
      <c r="L100" s="363"/>
    </row>
    <row r="101" spans="7:12" s="317" customFormat="1">
      <c r="G101" s="363"/>
      <c r="H101" s="363"/>
      <c r="I101" s="363"/>
      <c r="J101" s="363"/>
      <c r="K101" s="363"/>
      <c r="L101" s="363"/>
    </row>
    <row r="102" spans="7:12" s="317" customFormat="1">
      <c r="G102" s="363"/>
      <c r="H102" s="363"/>
      <c r="I102" s="363"/>
      <c r="J102" s="363"/>
      <c r="K102" s="363"/>
      <c r="L102" s="363"/>
    </row>
    <row r="103" spans="7:12" s="317" customFormat="1">
      <c r="G103" s="363"/>
      <c r="H103" s="363"/>
      <c r="I103" s="363"/>
      <c r="J103" s="363"/>
      <c r="K103" s="363"/>
      <c r="L103" s="363"/>
    </row>
    <row r="104" spans="7:12" s="317" customFormat="1">
      <c r="G104" s="363"/>
      <c r="H104" s="363"/>
      <c r="I104" s="363"/>
      <c r="J104" s="363"/>
      <c r="K104" s="363"/>
      <c r="L104" s="363"/>
    </row>
    <row r="105" spans="7:12" s="317" customFormat="1">
      <c r="G105" s="363"/>
      <c r="H105" s="363"/>
      <c r="I105" s="363"/>
      <c r="J105" s="363"/>
      <c r="K105" s="363"/>
      <c r="L105" s="363"/>
    </row>
    <row r="106" spans="7:12" s="317" customFormat="1">
      <c r="G106" s="363"/>
      <c r="H106" s="363"/>
      <c r="I106" s="363"/>
      <c r="J106" s="363"/>
      <c r="K106" s="363"/>
      <c r="L106" s="363"/>
    </row>
    <row r="107" spans="7:12" s="317" customFormat="1">
      <c r="G107" s="363"/>
      <c r="H107" s="363"/>
      <c r="I107" s="363"/>
      <c r="J107" s="363"/>
      <c r="K107" s="363"/>
      <c r="L107" s="363"/>
    </row>
    <row r="108" spans="7:12" s="317" customFormat="1">
      <c r="G108" s="363"/>
      <c r="H108" s="363"/>
      <c r="I108" s="363"/>
      <c r="J108" s="363"/>
      <c r="K108" s="363"/>
      <c r="L108" s="363"/>
    </row>
    <row r="109" spans="7:12" s="317" customFormat="1">
      <c r="G109" s="363"/>
      <c r="H109" s="363"/>
      <c r="I109" s="363"/>
      <c r="J109" s="363"/>
      <c r="K109" s="363"/>
      <c r="L109" s="363"/>
    </row>
    <row r="110" spans="7:12" s="317" customFormat="1">
      <c r="G110" s="363"/>
      <c r="H110" s="363"/>
      <c r="I110" s="363"/>
      <c r="J110" s="363"/>
      <c r="K110" s="363"/>
      <c r="L110" s="363"/>
    </row>
    <row r="111" spans="7:12" s="317" customFormat="1">
      <c r="G111" s="363"/>
      <c r="H111" s="363"/>
      <c r="I111" s="363"/>
      <c r="J111" s="363"/>
      <c r="K111" s="363"/>
      <c r="L111" s="363"/>
    </row>
    <row r="112" spans="7:12" s="317" customFormat="1">
      <c r="G112" s="363"/>
      <c r="H112" s="363"/>
      <c r="I112" s="363"/>
      <c r="J112" s="363"/>
      <c r="K112" s="363"/>
      <c r="L112" s="363"/>
    </row>
    <row r="113" spans="7:12" s="317" customFormat="1">
      <c r="G113" s="363"/>
      <c r="H113" s="363"/>
      <c r="I113" s="363"/>
      <c r="J113" s="363"/>
      <c r="K113" s="363"/>
      <c r="L113" s="363"/>
    </row>
    <row r="114" spans="7:12" s="317" customFormat="1">
      <c r="G114" s="363"/>
      <c r="H114" s="363"/>
      <c r="I114" s="363"/>
      <c r="J114" s="363"/>
      <c r="K114" s="363"/>
      <c r="L114" s="363"/>
    </row>
    <row r="115" spans="7:12" s="317" customFormat="1">
      <c r="G115" s="363"/>
      <c r="H115" s="363"/>
      <c r="I115" s="363"/>
      <c r="J115" s="363"/>
      <c r="K115" s="363"/>
      <c r="L115" s="363"/>
    </row>
    <row r="116" spans="7:12" s="317" customFormat="1">
      <c r="G116" s="363"/>
      <c r="H116" s="363"/>
      <c r="I116" s="363"/>
      <c r="J116" s="363"/>
      <c r="K116" s="363"/>
      <c r="L116" s="363"/>
    </row>
    <row r="117" spans="7:12" s="317" customFormat="1">
      <c r="G117" s="363"/>
      <c r="H117" s="363"/>
      <c r="I117" s="363"/>
      <c r="J117" s="363"/>
      <c r="K117" s="363"/>
      <c r="L117" s="363"/>
    </row>
    <row r="118" spans="7:12" s="317" customFormat="1">
      <c r="G118" s="363"/>
      <c r="H118" s="363"/>
      <c r="I118" s="363"/>
      <c r="J118" s="363"/>
      <c r="K118" s="363"/>
      <c r="L118" s="363"/>
    </row>
    <row r="119" spans="7:12" s="317" customFormat="1">
      <c r="G119" s="363"/>
      <c r="H119" s="363"/>
      <c r="I119" s="363"/>
      <c r="J119" s="363"/>
      <c r="K119" s="363"/>
      <c r="L119" s="363"/>
    </row>
    <row r="120" spans="7:12" s="317" customFormat="1">
      <c r="G120" s="363"/>
      <c r="H120" s="363"/>
      <c r="I120" s="363"/>
      <c r="J120" s="363"/>
      <c r="K120" s="363"/>
      <c r="L120" s="363"/>
    </row>
    <row r="121" spans="7:12" s="317" customFormat="1">
      <c r="G121" s="363"/>
      <c r="H121" s="363"/>
      <c r="I121" s="363"/>
      <c r="J121" s="363"/>
      <c r="K121" s="363"/>
      <c r="L121" s="363"/>
    </row>
    <row r="122" spans="7:12" s="317" customFormat="1">
      <c r="G122" s="363"/>
      <c r="H122" s="363"/>
      <c r="I122" s="363"/>
      <c r="J122" s="363"/>
      <c r="K122" s="363"/>
      <c r="L122" s="363"/>
    </row>
    <row r="123" spans="7:12" s="317" customFormat="1">
      <c r="G123" s="363"/>
      <c r="H123" s="363"/>
      <c r="I123" s="363"/>
      <c r="J123" s="363"/>
      <c r="K123" s="363"/>
      <c r="L123" s="363"/>
    </row>
    <row r="124" spans="7:12" s="317" customFormat="1">
      <c r="G124" s="363"/>
      <c r="H124" s="363"/>
      <c r="I124" s="363"/>
      <c r="J124" s="363"/>
      <c r="K124" s="363"/>
      <c r="L124" s="363"/>
    </row>
    <row r="125" spans="7:12" s="317" customFormat="1">
      <c r="G125" s="363"/>
      <c r="H125" s="363"/>
      <c r="I125" s="363"/>
      <c r="J125" s="363"/>
      <c r="K125" s="363"/>
      <c r="L125" s="363"/>
    </row>
    <row r="126" spans="7:12" s="317" customFormat="1">
      <c r="G126" s="363"/>
      <c r="H126" s="363"/>
      <c r="I126" s="363"/>
      <c r="J126" s="363"/>
      <c r="K126" s="363"/>
      <c r="L126" s="363"/>
    </row>
    <row r="127" spans="7:12" s="317" customFormat="1">
      <c r="G127" s="363"/>
      <c r="H127" s="363"/>
      <c r="I127" s="363"/>
      <c r="J127" s="363"/>
      <c r="K127" s="363"/>
      <c r="L127" s="363"/>
    </row>
    <row r="128" spans="7:12" s="317" customFormat="1">
      <c r="G128" s="363"/>
      <c r="H128" s="363"/>
      <c r="I128" s="363"/>
      <c r="J128" s="363"/>
      <c r="K128" s="363"/>
      <c r="L128" s="363"/>
    </row>
    <row r="129" spans="7:12" s="317" customFormat="1">
      <c r="G129" s="363"/>
      <c r="H129" s="363"/>
      <c r="I129" s="363"/>
      <c r="J129" s="363"/>
      <c r="K129" s="363"/>
      <c r="L129" s="363"/>
    </row>
    <row r="130" spans="7:12" s="317" customFormat="1">
      <c r="G130" s="363"/>
      <c r="H130" s="363"/>
      <c r="I130" s="363"/>
      <c r="J130" s="363"/>
      <c r="K130" s="363"/>
      <c r="L130" s="363"/>
    </row>
    <row r="131" spans="7:12" s="317" customFormat="1">
      <c r="G131" s="363"/>
      <c r="H131" s="363"/>
      <c r="I131" s="363"/>
      <c r="J131" s="363"/>
      <c r="K131" s="363"/>
      <c r="L131" s="363"/>
    </row>
    <row r="132" spans="7:12" s="317" customFormat="1">
      <c r="G132" s="363"/>
      <c r="H132" s="363"/>
      <c r="I132" s="363"/>
      <c r="J132" s="363"/>
      <c r="K132" s="363"/>
      <c r="L132" s="363"/>
    </row>
    <row r="133" spans="7:12" s="317" customFormat="1">
      <c r="G133" s="363"/>
      <c r="H133" s="363"/>
      <c r="I133" s="363"/>
      <c r="J133" s="363"/>
      <c r="K133" s="363"/>
      <c r="L133" s="363"/>
    </row>
    <row r="134" spans="7:12" s="317" customFormat="1">
      <c r="G134" s="363"/>
      <c r="H134" s="363"/>
      <c r="I134" s="363"/>
      <c r="J134" s="363"/>
      <c r="K134" s="363"/>
      <c r="L134" s="363"/>
    </row>
    <row r="135" spans="7:12" s="317" customFormat="1">
      <c r="G135" s="363"/>
      <c r="H135" s="363"/>
      <c r="I135" s="363"/>
      <c r="J135" s="363"/>
      <c r="K135" s="363"/>
      <c r="L135" s="363"/>
    </row>
    <row r="136" spans="7:12" s="317" customFormat="1">
      <c r="G136" s="363"/>
      <c r="H136" s="363"/>
      <c r="I136" s="363"/>
      <c r="J136" s="363"/>
      <c r="K136" s="363"/>
      <c r="L136" s="363"/>
    </row>
    <row r="137" spans="7:12" s="317" customFormat="1">
      <c r="G137" s="363"/>
      <c r="H137" s="363"/>
      <c r="I137" s="363"/>
      <c r="J137" s="363"/>
      <c r="K137" s="363"/>
      <c r="L137" s="363"/>
    </row>
    <row r="138" spans="7:12" s="317" customFormat="1">
      <c r="G138" s="363"/>
      <c r="H138" s="363"/>
      <c r="I138" s="363"/>
      <c r="J138" s="363"/>
      <c r="K138" s="363"/>
      <c r="L138" s="363"/>
    </row>
    <row r="139" spans="7:12" s="317" customFormat="1">
      <c r="G139" s="363"/>
      <c r="H139" s="363"/>
      <c r="I139" s="363"/>
      <c r="J139" s="363"/>
      <c r="K139" s="363"/>
      <c r="L139" s="363"/>
    </row>
    <row r="140" spans="7:12" s="317" customFormat="1">
      <c r="G140" s="363"/>
      <c r="H140" s="363"/>
      <c r="I140" s="363"/>
      <c r="J140" s="363"/>
      <c r="K140" s="363"/>
      <c r="L140" s="363"/>
    </row>
    <row r="141" spans="7:12" s="317" customFormat="1">
      <c r="G141" s="363"/>
      <c r="H141" s="363"/>
      <c r="I141" s="363"/>
      <c r="J141" s="363"/>
      <c r="K141" s="363"/>
      <c r="L141" s="363"/>
    </row>
    <row r="142" spans="7:12" s="317" customFormat="1">
      <c r="G142" s="363"/>
      <c r="H142" s="363"/>
      <c r="I142" s="363"/>
      <c r="J142" s="363"/>
      <c r="K142" s="363"/>
      <c r="L142" s="363"/>
    </row>
    <row r="143" spans="7:12" s="317" customFormat="1">
      <c r="G143" s="363"/>
      <c r="H143" s="363"/>
      <c r="I143" s="363"/>
      <c r="J143" s="363"/>
      <c r="K143" s="363"/>
      <c r="L143" s="363"/>
    </row>
    <row r="144" spans="7:12" s="317" customFormat="1">
      <c r="G144" s="363"/>
      <c r="H144" s="363"/>
      <c r="I144" s="363"/>
      <c r="J144" s="363"/>
      <c r="K144" s="363"/>
      <c r="L144" s="363"/>
    </row>
    <row r="145" spans="7:12" s="317" customFormat="1">
      <c r="G145" s="363"/>
      <c r="H145" s="363"/>
      <c r="I145" s="363"/>
      <c r="J145" s="363"/>
      <c r="K145" s="363"/>
      <c r="L145" s="363"/>
    </row>
    <row r="146" spans="7:12" s="317" customFormat="1">
      <c r="G146" s="363"/>
      <c r="H146" s="363"/>
      <c r="I146" s="363"/>
      <c r="J146" s="363"/>
      <c r="K146" s="363"/>
      <c r="L146" s="363"/>
    </row>
    <row r="147" spans="7:12" s="317" customFormat="1">
      <c r="G147" s="363"/>
      <c r="H147" s="363"/>
      <c r="I147" s="363"/>
      <c r="J147" s="363"/>
      <c r="K147" s="363"/>
      <c r="L147" s="363"/>
    </row>
    <row r="148" spans="7:12" s="317" customFormat="1">
      <c r="G148" s="363"/>
      <c r="H148" s="363"/>
      <c r="I148" s="363"/>
      <c r="J148" s="363"/>
      <c r="K148" s="363"/>
      <c r="L148" s="363"/>
    </row>
    <row r="149" spans="7:12" s="317" customFormat="1">
      <c r="G149" s="363"/>
      <c r="H149" s="363"/>
      <c r="I149" s="363"/>
      <c r="J149" s="363"/>
      <c r="K149" s="363"/>
      <c r="L149" s="363"/>
    </row>
    <row r="150" spans="7:12" s="317" customFormat="1">
      <c r="G150" s="363"/>
      <c r="H150" s="363"/>
      <c r="I150" s="363"/>
      <c r="J150" s="363"/>
      <c r="K150" s="363"/>
      <c r="L150" s="363"/>
    </row>
    <row r="151" spans="7:12" s="317" customFormat="1">
      <c r="G151" s="363"/>
      <c r="H151" s="363"/>
      <c r="I151" s="363"/>
      <c r="J151" s="363"/>
      <c r="K151" s="363"/>
      <c r="L151" s="363"/>
    </row>
    <row r="152" spans="7:12" s="317" customFormat="1">
      <c r="G152" s="363"/>
      <c r="H152" s="363"/>
      <c r="I152" s="363"/>
      <c r="J152" s="363"/>
      <c r="K152" s="363"/>
      <c r="L152" s="363"/>
    </row>
    <row r="153" spans="7:12" s="317" customFormat="1">
      <c r="G153" s="363"/>
      <c r="H153" s="363"/>
      <c r="I153" s="363"/>
      <c r="J153" s="363"/>
      <c r="K153" s="363"/>
      <c r="L153" s="363"/>
    </row>
    <row r="154" spans="7:12" s="317" customFormat="1">
      <c r="G154" s="363"/>
      <c r="H154" s="363"/>
      <c r="I154" s="363"/>
      <c r="J154" s="363"/>
      <c r="K154" s="363"/>
      <c r="L154" s="363"/>
    </row>
    <row r="155" spans="7:12" s="317" customFormat="1">
      <c r="G155" s="363"/>
      <c r="H155" s="363"/>
      <c r="I155" s="363"/>
      <c r="J155" s="363"/>
      <c r="K155" s="363"/>
      <c r="L155" s="363"/>
    </row>
    <row r="156" spans="7:12" s="317" customFormat="1">
      <c r="G156" s="363"/>
      <c r="H156" s="363"/>
      <c r="I156" s="363"/>
      <c r="J156" s="363"/>
      <c r="K156" s="363"/>
      <c r="L156" s="363"/>
    </row>
    <row r="157" spans="7:12" s="317" customFormat="1">
      <c r="G157" s="363"/>
      <c r="H157" s="363"/>
      <c r="I157" s="363"/>
      <c r="J157" s="363"/>
      <c r="K157" s="363"/>
      <c r="L157" s="363"/>
    </row>
    <row r="158" spans="7:12" s="317" customFormat="1">
      <c r="G158" s="363"/>
      <c r="H158" s="363"/>
      <c r="I158" s="363"/>
      <c r="J158" s="363"/>
      <c r="K158" s="363"/>
      <c r="L158" s="363"/>
    </row>
    <row r="159" spans="7:12" s="317" customFormat="1">
      <c r="G159" s="363"/>
      <c r="H159" s="363"/>
      <c r="I159" s="363"/>
      <c r="J159" s="363"/>
      <c r="K159" s="363"/>
      <c r="L159" s="363"/>
    </row>
    <row r="160" spans="7:12" s="317" customFormat="1">
      <c r="G160" s="363"/>
      <c r="H160" s="363"/>
      <c r="I160" s="363"/>
      <c r="J160" s="363"/>
      <c r="K160" s="363"/>
      <c r="L160" s="363"/>
    </row>
    <row r="161" spans="7:12" s="317" customFormat="1">
      <c r="G161" s="363"/>
      <c r="H161" s="363"/>
      <c r="I161" s="363"/>
      <c r="J161" s="363"/>
      <c r="K161" s="363"/>
      <c r="L161" s="363"/>
    </row>
    <row r="162" spans="7:12" s="317" customFormat="1">
      <c r="G162" s="363"/>
      <c r="H162" s="363"/>
      <c r="I162" s="363"/>
      <c r="J162" s="363"/>
      <c r="K162" s="363"/>
      <c r="L162" s="363"/>
    </row>
    <row r="163" spans="7:12" s="317" customFormat="1">
      <c r="G163" s="363"/>
      <c r="H163" s="363"/>
      <c r="I163" s="363"/>
      <c r="J163" s="363"/>
      <c r="K163" s="363"/>
      <c r="L163" s="363"/>
    </row>
    <row r="164" spans="7:12" s="317" customFormat="1">
      <c r="G164" s="363"/>
      <c r="H164" s="363"/>
      <c r="I164" s="363"/>
      <c r="J164" s="363"/>
      <c r="K164" s="363"/>
      <c r="L164" s="363"/>
    </row>
    <row r="165" spans="7:12" s="317" customFormat="1">
      <c r="G165" s="363"/>
      <c r="H165" s="363"/>
      <c r="I165" s="363"/>
      <c r="J165" s="363"/>
      <c r="K165" s="363"/>
      <c r="L165" s="363"/>
    </row>
    <row r="166" spans="7:12" s="317" customFormat="1">
      <c r="G166" s="363"/>
      <c r="H166" s="363"/>
      <c r="I166" s="363"/>
      <c r="J166" s="363"/>
      <c r="K166" s="363"/>
      <c r="L166" s="363"/>
    </row>
    <row r="167" spans="7:12" s="317" customFormat="1">
      <c r="G167" s="363"/>
      <c r="H167" s="363"/>
      <c r="I167" s="363"/>
      <c r="J167" s="363"/>
      <c r="K167" s="363"/>
      <c r="L167" s="363"/>
    </row>
    <row r="168" spans="7:12" s="317" customFormat="1">
      <c r="G168" s="363"/>
      <c r="H168" s="363"/>
      <c r="I168" s="363"/>
      <c r="J168" s="363"/>
      <c r="K168" s="363"/>
      <c r="L168" s="363"/>
    </row>
    <row r="169" spans="7:12" s="317" customFormat="1">
      <c r="G169" s="363"/>
      <c r="H169" s="363"/>
      <c r="I169" s="363"/>
      <c r="J169" s="363"/>
      <c r="K169" s="363"/>
      <c r="L169" s="363"/>
    </row>
    <row r="170" spans="7:12" s="317" customFormat="1">
      <c r="G170" s="363"/>
      <c r="H170" s="363"/>
      <c r="I170" s="363"/>
      <c r="J170" s="363"/>
      <c r="K170" s="363"/>
      <c r="L170" s="363"/>
    </row>
    <row r="171" spans="7:12" s="317" customFormat="1">
      <c r="G171" s="363"/>
      <c r="H171" s="363"/>
      <c r="I171" s="363"/>
      <c r="J171" s="363"/>
      <c r="K171" s="363"/>
      <c r="L171" s="363"/>
    </row>
    <row r="172" spans="7:12" s="317" customFormat="1">
      <c r="G172" s="363"/>
      <c r="H172" s="363"/>
      <c r="I172" s="363"/>
      <c r="J172" s="363"/>
      <c r="K172" s="363"/>
      <c r="L172" s="363"/>
    </row>
    <row r="173" spans="7:12" s="317" customFormat="1">
      <c r="G173" s="363"/>
      <c r="H173" s="363"/>
      <c r="I173" s="363"/>
      <c r="J173" s="363"/>
      <c r="K173" s="363"/>
      <c r="L173" s="363"/>
    </row>
    <row r="174" spans="7:12" s="317" customFormat="1">
      <c r="G174" s="363"/>
      <c r="H174" s="363"/>
      <c r="I174" s="363"/>
      <c r="J174" s="363"/>
      <c r="K174" s="363"/>
      <c r="L174" s="363"/>
    </row>
    <row r="175" spans="7:12" s="317" customFormat="1">
      <c r="G175" s="363"/>
      <c r="H175" s="363"/>
      <c r="I175" s="363"/>
      <c r="J175" s="363"/>
      <c r="K175" s="363"/>
      <c r="L175" s="363"/>
    </row>
    <row r="176" spans="7:12" s="317" customFormat="1">
      <c r="G176" s="363"/>
      <c r="H176" s="363"/>
      <c r="I176" s="363"/>
      <c r="J176" s="363"/>
      <c r="K176" s="363"/>
      <c r="L176" s="363"/>
    </row>
    <row r="177" spans="7:12" s="317" customFormat="1">
      <c r="G177" s="363"/>
      <c r="H177" s="363"/>
      <c r="I177" s="363"/>
      <c r="J177" s="363"/>
      <c r="K177" s="363"/>
      <c r="L177" s="363"/>
    </row>
    <row r="178" spans="7:12" s="317" customFormat="1">
      <c r="G178" s="363"/>
      <c r="H178" s="363"/>
      <c r="I178" s="363"/>
      <c r="J178" s="363"/>
      <c r="K178" s="363"/>
      <c r="L178" s="363"/>
    </row>
    <row r="179" spans="7:12" s="317" customFormat="1">
      <c r="G179" s="363"/>
      <c r="H179" s="363"/>
      <c r="I179" s="363"/>
      <c r="J179" s="363"/>
      <c r="K179" s="363"/>
      <c r="L179" s="363"/>
    </row>
    <row r="180" spans="7:12" s="317" customFormat="1">
      <c r="G180" s="363"/>
      <c r="H180" s="363"/>
      <c r="I180" s="363"/>
      <c r="J180" s="363"/>
      <c r="K180" s="363"/>
      <c r="L180" s="363"/>
    </row>
    <row r="181" spans="7:12" s="317" customFormat="1">
      <c r="G181" s="363"/>
      <c r="H181" s="363"/>
      <c r="I181" s="363"/>
      <c r="J181" s="363"/>
      <c r="K181" s="363"/>
      <c r="L181" s="363"/>
    </row>
    <row r="182" spans="7:12" s="317" customFormat="1">
      <c r="G182" s="363"/>
      <c r="H182" s="363"/>
      <c r="I182" s="363"/>
      <c r="J182" s="363"/>
      <c r="K182" s="363"/>
      <c r="L182" s="363"/>
    </row>
    <row r="183" spans="7:12" s="317" customFormat="1">
      <c r="G183" s="363"/>
      <c r="H183" s="363"/>
      <c r="I183" s="363"/>
      <c r="J183" s="363"/>
      <c r="K183" s="363"/>
      <c r="L183" s="363"/>
    </row>
    <row r="184" spans="7:12" s="317" customFormat="1">
      <c r="G184" s="363"/>
      <c r="H184" s="363"/>
      <c r="I184" s="363"/>
      <c r="J184" s="363"/>
      <c r="K184" s="363"/>
      <c r="L184" s="363"/>
    </row>
    <row r="185" spans="7:12" s="317" customFormat="1">
      <c r="G185" s="363"/>
      <c r="H185" s="363"/>
      <c r="I185" s="363"/>
      <c r="J185" s="363"/>
      <c r="K185" s="363"/>
      <c r="L185" s="363"/>
    </row>
    <row r="186" spans="7:12" s="317" customFormat="1">
      <c r="G186" s="363"/>
      <c r="H186" s="363"/>
      <c r="I186" s="363"/>
      <c r="J186" s="363"/>
      <c r="K186" s="363"/>
      <c r="L186" s="363"/>
    </row>
    <row r="187" spans="7:12" s="317" customFormat="1">
      <c r="G187" s="363"/>
      <c r="H187" s="363"/>
      <c r="I187" s="363"/>
      <c r="J187" s="363"/>
      <c r="K187" s="363"/>
      <c r="L187" s="363"/>
    </row>
    <row r="188" spans="7:12" s="317" customFormat="1">
      <c r="G188" s="363"/>
      <c r="H188" s="363"/>
      <c r="I188" s="363"/>
      <c r="J188" s="363"/>
      <c r="K188" s="363"/>
      <c r="L188" s="363"/>
    </row>
    <row r="189" spans="7:12" s="317" customFormat="1">
      <c r="G189" s="363"/>
      <c r="H189" s="363"/>
      <c r="I189" s="363"/>
      <c r="J189" s="363"/>
      <c r="K189" s="363"/>
      <c r="L189" s="363"/>
    </row>
    <row r="190" spans="7:12" s="317" customFormat="1">
      <c r="G190" s="363"/>
      <c r="H190" s="363"/>
      <c r="I190" s="363"/>
      <c r="J190" s="363"/>
      <c r="K190" s="363"/>
      <c r="L190" s="363"/>
    </row>
    <row r="191" spans="7:12" s="317" customFormat="1">
      <c r="G191" s="363"/>
      <c r="H191" s="363"/>
      <c r="I191" s="363"/>
      <c r="J191" s="363"/>
      <c r="K191" s="363"/>
      <c r="L191" s="363"/>
    </row>
    <row r="192" spans="7:12" s="317" customFormat="1">
      <c r="G192" s="363"/>
      <c r="H192" s="363"/>
      <c r="I192" s="363"/>
      <c r="J192" s="363"/>
      <c r="K192" s="363"/>
      <c r="L192" s="363"/>
    </row>
    <row r="193" spans="7:12" s="317" customFormat="1">
      <c r="G193" s="363"/>
      <c r="H193" s="363"/>
      <c r="I193" s="363"/>
      <c r="J193" s="363"/>
      <c r="K193" s="363"/>
      <c r="L193" s="363"/>
    </row>
    <row r="194" spans="7:12" s="317" customFormat="1">
      <c r="G194" s="363"/>
      <c r="H194" s="363"/>
      <c r="I194" s="363"/>
      <c r="J194" s="363"/>
      <c r="K194" s="363"/>
      <c r="L194" s="363"/>
    </row>
    <row r="195" spans="7:12" s="317" customFormat="1">
      <c r="G195" s="363"/>
      <c r="H195" s="363"/>
      <c r="I195" s="363"/>
      <c r="J195" s="363"/>
      <c r="K195" s="363"/>
      <c r="L195" s="363"/>
    </row>
    <row r="196" spans="7:12" s="317" customFormat="1">
      <c r="G196" s="363"/>
      <c r="H196" s="363"/>
      <c r="I196" s="363"/>
      <c r="J196" s="363"/>
      <c r="K196" s="363"/>
      <c r="L196" s="363"/>
    </row>
    <row r="197" spans="7:12" s="317" customFormat="1">
      <c r="G197" s="363"/>
      <c r="H197" s="363"/>
      <c r="I197" s="363"/>
      <c r="J197" s="363"/>
      <c r="K197" s="363"/>
      <c r="L197" s="363"/>
    </row>
    <row r="198" spans="7:12" s="317" customFormat="1">
      <c r="G198" s="363"/>
      <c r="H198" s="363"/>
      <c r="I198" s="363"/>
      <c r="J198" s="363"/>
      <c r="K198" s="363"/>
      <c r="L198" s="363"/>
    </row>
    <row r="199" spans="7:12" s="317" customFormat="1">
      <c r="G199" s="363"/>
      <c r="H199" s="363"/>
      <c r="I199" s="363"/>
      <c r="J199" s="363"/>
      <c r="K199" s="363"/>
      <c r="L199" s="363"/>
    </row>
    <row r="200" spans="7:12" s="317" customFormat="1">
      <c r="G200" s="363"/>
      <c r="H200" s="363"/>
      <c r="I200" s="363"/>
      <c r="J200" s="363"/>
      <c r="K200" s="363"/>
      <c r="L200" s="363"/>
    </row>
    <row r="201" spans="7:12" s="317" customFormat="1">
      <c r="G201" s="363"/>
      <c r="H201" s="363"/>
      <c r="I201" s="363"/>
      <c r="J201" s="363"/>
      <c r="K201" s="363"/>
      <c r="L201" s="363"/>
    </row>
    <row r="202" spans="7:12" s="317" customFormat="1">
      <c r="G202" s="363"/>
      <c r="H202" s="363"/>
      <c r="I202" s="363"/>
      <c r="J202" s="363"/>
      <c r="K202" s="363"/>
      <c r="L202" s="363"/>
    </row>
    <row r="203" spans="7:12" s="317" customFormat="1">
      <c r="G203" s="363"/>
      <c r="H203" s="363"/>
      <c r="I203" s="363"/>
      <c r="J203" s="363"/>
      <c r="K203" s="363"/>
      <c r="L203" s="363"/>
    </row>
    <row r="204" spans="7:12" s="317" customFormat="1">
      <c r="G204" s="363"/>
      <c r="H204" s="363"/>
      <c r="I204" s="363"/>
      <c r="J204" s="363"/>
      <c r="K204" s="363"/>
      <c r="L204" s="363"/>
    </row>
    <row r="205" spans="7:12" s="317" customFormat="1">
      <c r="G205" s="363"/>
      <c r="H205" s="363"/>
      <c r="I205" s="363"/>
      <c r="J205" s="363"/>
      <c r="K205" s="363"/>
      <c r="L205" s="363"/>
    </row>
    <row r="206" spans="7:12" s="317" customFormat="1">
      <c r="G206" s="363"/>
      <c r="H206" s="363"/>
      <c r="I206" s="363"/>
      <c r="J206" s="363"/>
      <c r="K206" s="363"/>
      <c r="L206" s="363"/>
    </row>
    <row r="207" spans="7:12" s="317" customFormat="1">
      <c r="G207" s="363"/>
      <c r="H207" s="363"/>
      <c r="I207" s="363"/>
      <c r="J207" s="363"/>
      <c r="K207" s="363"/>
      <c r="L207" s="363"/>
    </row>
    <row r="208" spans="7:12" s="317" customFormat="1">
      <c r="G208" s="363"/>
      <c r="H208" s="363"/>
      <c r="I208" s="363"/>
      <c r="J208" s="363"/>
      <c r="K208" s="363"/>
      <c r="L208" s="363"/>
    </row>
    <row r="209" spans="7:12" s="317" customFormat="1">
      <c r="G209" s="363"/>
      <c r="H209" s="363"/>
      <c r="I209" s="363"/>
      <c r="J209" s="363"/>
      <c r="K209" s="363"/>
      <c r="L209" s="363"/>
    </row>
    <row r="210" spans="7:12" s="317" customFormat="1">
      <c r="G210" s="363"/>
      <c r="H210" s="363"/>
      <c r="I210" s="363"/>
      <c r="J210" s="363"/>
      <c r="K210" s="363"/>
      <c r="L210" s="363"/>
    </row>
    <row r="211" spans="7:12" s="317" customFormat="1">
      <c r="G211" s="363"/>
      <c r="H211" s="363"/>
      <c r="I211" s="363"/>
      <c r="J211" s="363"/>
      <c r="K211" s="363"/>
      <c r="L211" s="363"/>
    </row>
    <row r="212" spans="7:12" s="317" customFormat="1">
      <c r="G212" s="363"/>
      <c r="H212" s="363"/>
      <c r="I212" s="363"/>
      <c r="J212" s="363"/>
      <c r="K212" s="363"/>
      <c r="L212" s="363"/>
    </row>
    <row r="213" spans="7:12" s="317" customFormat="1">
      <c r="G213" s="363"/>
      <c r="H213" s="363"/>
      <c r="I213" s="363"/>
      <c r="J213" s="363"/>
      <c r="K213" s="363"/>
      <c r="L213" s="363"/>
    </row>
    <row r="214" spans="7:12" s="317" customFormat="1">
      <c r="G214" s="363"/>
      <c r="H214" s="363"/>
      <c r="I214" s="363"/>
      <c r="J214" s="363"/>
      <c r="K214" s="363"/>
      <c r="L214" s="363"/>
    </row>
    <row r="215" spans="7:12" s="317" customFormat="1">
      <c r="G215" s="363"/>
      <c r="H215" s="363"/>
      <c r="I215" s="363"/>
      <c r="J215" s="363"/>
      <c r="K215" s="363"/>
      <c r="L215" s="363"/>
    </row>
    <row r="216" spans="7:12" s="317" customFormat="1">
      <c r="G216" s="363"/>
      <c r="H216" s="363"/>
      <c r="I216" s="363"/>
      <c r="J216" s="363"/>
      <c r="K216" s="363"/>
      <c r="L216" s="363"/>
    </row>
    <row r="217" spans="7:12" s="317" customFormat="1">
      <c r="G217" s="363"/>
      <c r="H217" s="363"/>
      <c r="I217" s="363"/>
      <c r="J217" s="363"/>
      <c r="K217" s="363"/>
      <c r="L217" s="363"/>
    </row>
    <row r="218" spans="7:12" s="317" customFormat="1">
      <c r="G218" s="363"/>
      <c r="H218" s="363"/>
      <c r="I218" s="363"/>
      <c r="J218" s="363"/>
      <c r="K218" s="363"/>
      <c r="L218" s="363"/>
    </row>
    <row r="219" spans="7:12" s="317" customFormat="1">
      <c r="G219" s="363"/>
      <c r="H219" s="363"/>
      <c r="I219" s="363"/>
      <c r="J219" s="363"/>
      <c r="K219" s="363"/>
      <c r="L219" s="363"/>
    </row>
    <row r="220" spans="7:12" s="317" customFormat="1">
      <c r="G220" s="363"/>
      <c r="H220" s="363"/>
      <c r="I220" s="363"/>
      <c r="J220" s="363"/>
      <c r="K220" s="363"/>
      <c r="L220" s="363"/>
    </row>
    <row r="221" spans="7:12" s="317" customFormat="1">
      <c r="G221" s="363"/>
      <c r="H221" s="363"/>
      <c r="I221" s="363"/>
      <c r="J221" s="363"/>
      <c r="K221" s="363"/>
      <c r="L221" s="363"/>
    </row>
    <row r="222" spans="7:12" s="317" customFormat="1">
      <c r="G222" s="363"/>
      <c r="H222" s="363"/>
      <c r="I222" s="363"/>
      <c r="J222" s="363"/>
      <c r="K222" s="363"/>
      <c r="L222" s="363"/>
    </row>
    <row r="223" spans="7:12" s="317" customFormat="1">
      <c r="G223" s="363"/>
      <c r="H223" s="363"/>
      <c r="I223" s="363"/>
      <c r="J223" s="363"/>
      <c r="K223" s="363"/>
      <c r="L223" s="363"/>
    </row>
  </sheetData>
  <mergeCells count="15">
    <mergeCell ref="E11:E12"/>
    <mergeCell ref="B40:C40"/>
    <mergeCell ref="B2:E2"/>
    <mergeCell ref="B4:E5"/>
    <mergeCell ref="B6:E7"/>
    <mergeCell ref="B30:C30"/>
    <mergeCell ref="C31:E31"/>
    <mergeCell ref="B29:D29"/>
    <mergeCell ref="B8:C8"/>
    <mergeCell ref="D8:E8"/>
    <mergeCell ref="B9:C9"/>
    <mergeCell ref="D9:E9"/>
    <mergeCell ref="B11:B12"/>
    <mergeCell ref="C11:C12"/>
    <mergeCell ref="B10:E10"/>
  </mergeCells>
  <pageMargins left="1.299212598425197" right="0.11811023622047245" top="0.74803149606299213" bottom="0.35433070866141736" header="0.31496062992125984" footer="0.31496062992125984"/>
  <pageSetup paperSize="9" scale="85" orientation="portrait" r:id="rId1"/>
  <drawing r:id="rId2"/>
  <legacyDrawing r:id="rId3"/>
  <oleObjects>
    <mc:AlternateContent xmlns:mc="http://schemas.openxmlformats.org/markup-compatibility/2006">
      <mc:Choice Requires="x14">
        <oleObject progId="Equation.3" shapeId="2049" r:id="rId4">
          <objectPr defaultSize="0" autoPict="0" r:id="rId5">
            <anchor moveWithCells="1" sizeWithCells="1">
              <from>
                <xdr:col>2</xdr:col>
                <xdr:colOff>9525</xdr:colOff>
                <xdr:row>32</xdr:row>
                <xdr:rowOff>9525</xdr:rowOff>
              </from>
              <to>
                <xdr:col>4</xdr:col>
                <xdr:colOff>114300</xdr:colOff>
                <xdr:row>37</xdr:row>
                <xdr:rowOff>66675</xdr:rowOff>
              </to>
            </anchor>
          </objectPr>
        </oleObject>
      </mc:Choice>
      <mc:Fallback>
        <oleObject progId="Equation.3" shapeId="2049" r:id="rId4"/>
      </mc:Fallback>
    </mc:AlternateContent>
    <mc:AlternateContent xmlns:mc="http://schemas.openxmlformats.org/markup-compatibility/2006">
      <mc:Choice Requires="x14">
        <oleObject progId="Equation.3" shapeId="2050" r:id="rId6">
          <objectPr defaultSize="0" autoPict="0" r:id="rId5">
            <anchor moveWithCells="1" sizeWithCells="1">
              <from>
                <xdr:col>2</xdr:col>
                <xdr:colOff>9525</xdr:colOff>
                <xdr:row>32</xdr:row>
                <xdr:rowOff>9525</xdr:rowOff>
              </from>
              <to>
                <xdr:col>4</xdr:col>
                <xdr:colOff>114300</xdr:colOff>
                <xdr:row>37</xdr:row>
                <xdr:rowOff>66675</xdr:rowOff>
              </to>
            </anchor>
          </objectPr>
        </oleObject>
      </mc:Choice>
      <mc:Fallback>
        <oleObject progId="Equation.3" shapeId="2050"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1625"/>
  <sheetViews>
    <sheetView workbookViewId="0">
      <selection activeCell="H815" sqref="H815"/>
    </sheetView>
  </sheetViews>
  <sheetFormatPr defaultRowHeight="15"/>
  <cols>
    <col min="1" max="1" width="2.7109375" style="317" customWidth="1"/>
    <col min="2" max="2" width="21.85546875" style="134" customWidth="1"/>
    <col min="3" max="3" width="40.7109375" style="134" customWidth="1"/>
    <col min="4" max="4" width="9.85546875" style="134" customWidth="1"/>
    <col min="5" max="5" width="11.140625" style="134" customWidth="1"/>
    <col min="6" max="6" width="19" style="134" customWidth="1"/>
    <col min="7" max="8" width="16.5703125" style="134" customWidth="1"/>
    <col min="9" max="45" width="9.140625" style="317"/>
    <col min="46" max="16384" width="9.140625" style="134"/>
  </cols>
  <sheetData>
    <row r="1" spans="1:45" s="294" customFormat="1" ht="24.95" customHeight="1">
      <c r="A1" s="387"/>
      <c r="B1" s="633" t="s">
        <v>1893</v>
      </c>
      <c r="C1" s="634"/>
      <c r="D1" s="634"/>
      <c r="E1" s="634"/>
      <c r="F1" s="634"/>
      <c r="G1" s="634"/>
      <c r="H1" s="635"/>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row>
    <row r="2" spans="1:45" s="224" customFormat="1" ht="15" customHeight="1">
      <c r="A2" s="317"/>
      <c r="B2" s="330"/>
      <c r="C2" s="331"/>
      <c r="D2" s="332"/>
      <c r="E2" s="333"/>
      <c r="F2" s="332"/>
      <c r="G2" s="332"/>
      <c r="H2" s="334"/>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row>
    <row r="3" spans="1:45" s="224" customFormat="1" ht="15" customHeight="1">
      <c r="A3" s="317"/>
      <c r="B3" s="335"/>
      <c r="C3" s="336"/>
      <c r="D3" s="337"/>
      <c r="E3" s="338"/>
      <c r="F3" s="337"/>
      <c r="G3" s="337"/>
      <c r="H3" s="339"/>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row>
    <row r="4" spans="1:45" s="224" customFormat="1" ht="15" customHeight="1">
      <c r="A4" s="317"/>
      <c r="B4" s="536" t="s">
        <v>2238</v>
      </c>
      <c r="C4" s="497"/>
      <c r="D4" s="497"/>
      <c r="E4" s="620"/>
      <c r="F4" s="481" t="s">
        <v>2239</v>
      </c>
      <c r="G4" s="481"/>
      <c r="H4" s="234">
        <v>0.2026</v>
      </c>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row>
    <row r="5" spans="1:45" s="224" customFormat="1" ht="15" customHeight="1">
      <c r="A5" s="317"/>
      <c r="B5" s="503" t="s">
        <v>2240</v>
      </c>
      <c r="C5" s="498"/>
      <c r="D5" s="498"/>
      <c r="E5" s="498"/>
      <c r="F5" s="340"/>
      <c r="G5" s="340"/>
      <c r="H5" s="341"/>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row>
    <row r="6" spans="1:45" s="224" customFormat="1">
      <c r="A6" s="317"/>
      <c r="B6" s="503" t="s">
        <v>2241</v>
      </c>
      <c r="C6" s="498"/>
      <c r="D6" s="498"/>
      <c r="E6" s="498"/>
      <c r="F6" s="499"/>
      <c r="G6" s="499"/>
      <c r="H6" s="341"/>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row>
    <row r="7" spans="1:45" s="224" customFormat="1">
      <c r="A7" s="317"/>
      <c r="B7" s="335"/>
      <c r="C7" s="336"/>
      <c r="D7" s="337"/>
      <c r="E7" s="338"/>
      <c r="F7" s="497"/>
      <c r="G7" s="497"/>
      <c r="H7" s="339"/>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row>
    <row r="8" spans="1:45" s="224" customFormat="1">
      <c r="A8" s="317"/>
      <c r="B8" s="503" t="s">
        <v>2785</v>
      </c>
      <c r="C8" s="498"/>
      <c r="D8" s="498"/>
      <c r="E8" s="498"/>
      <c r="F8" s="498"/>
      <c r="G8" s="498"/>
      <c r="H8" s="504"/>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row>
    <row r="9" spans="1:45" s="224" customFormat="1">
      <c r="A9" s="317"/>
      <c r="B9" s="505"/>
      <c r="C9" s="506"/>
      <c r="D9" s="506"/>
      <c r="E9" s="506"/>
      <c r="F9" s="506"/>
      <c r="G9" s="506"/>
      <c r="H9" s="50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row>
    <row r="10" spans="1:45" s="224" customFormat="1">
      <c r="A10" s="317"/>
      <c r="B10" s="342" t="s">
        <v>2781</v>
      </c>
      <c r="C10" s="343" t="s">
        <v>0</v>
      </c>
      <c r="D10" s="343"/>
      <c r="E10" s="344"/>
      <c r="F10" s="337"/>
      <c r="G10" s="337"/>
      <c r="H10" s="339" t="s">
        <v>2849</v>
      </c>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row>
    <row r="11" spans="1:45" s="224" customFormat="1">
      <c r="A11" s="317"/>
      <c r="B11" s="505"/>
      <c r="C11" s="506"/>
      <c r="D11" s="506"/>
      <c r="E11" s="506"/>
      <c r="F11" s="506"/>
      <c r="G11" s="506"/>
      <c r="H11" s="50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row>
    <row r="12" spans="1:45" s="224" customFormat="1" ht="15" customHeight="1">
      <c r="A12" s="317"/>
      <c r="B12" s="342" t="s">
        <v>2782</v>
      </c>
      <c r="C12" s="340" t="s">
        <v>2760</v>
      </c>
      <c r="D12" s="340"/>
      <c r="E12" s="345"/>
      <c r="F12" s="514" t="s">
        <v>2244</v>
      </c>
      <c r="G12" s="514"/>
      <c r="H12" s="515"/>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row>
    <row r="13" spans="1:45" s="224" customFormat="1">
      <c r="A13" s="317"/>
      <c r="B13" s="505"/>
      <c r="C13" s="506"/>
      <c r="D13" s="506"/>
      <c r="E13" s="506"/>
      <c r="F13" s="506"/>
      <c r="G13" s="506"/>
      <c r="H13" s="50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row>
    <row r="14" spans="1:45" s="224" customFormat="1">
      <c r="A14" s="317"/>
      <c r="B14" s="513" t="s">
        <v>2831</v>
      </c>
      <c r="C14" s="514"/>
      <c r="D14" s="514"/>
      <c r="E14" s="514"/>
      <c r="F14" s="514"/>
      <c r="G14" s="514"/>
      <c r="H14" s="515"/>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row>
    <row r="15" spans="1:45" s="224" customFormat="1">
      <c r="A15" s="317"/>
      <c r="B15" s="513" t="s">
        <v>2832</v>
      </c>
      <c r="C15" s="514"/>
      <c r="D15" s="514"/>
      <c r="E15" s="514"/>
      <c r="F15" s="514"/>
      <c r="G15" s="514"/>
      <c r="H15" s="515"/>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row>
    <row r="16" spans="1:45" s="224" customFormat="1" ht="15" customHeight="1">
      <c r="A16" s="317"/>
      <c r="B16" s="513" t="s">
        <v>2833</v>
      </c>
      <c r="C16" s="619"/>
      <c r="D16" s="619"/>
      <c r="E16" s="619"/>
      <c r="F16" s="619"/>
      <c r="G16" s="619"/>
      <c r="H16" s="515"/>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row>
    <row r="17" spans="1:45" s="408" customFormat="1" ht="15" customHeight="1">
      <c r="A17" s="409"/>
      <c r="B17" s="513" t="s">
        <v>2847</v>
      </c>
      <c r="C17" s="619"/>
      <c r="D17" s="619"/>
      <c r="E17" s="619"/>
      <c r="F17" s="619"/>
      <c r="G17" s="619"/>
      <c r="H17" s="515"/>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409"/>
      <c r="AS17" s="409"/>
    </row>
    <row r="18" spans="1:45" s="408" customFormat="1">
      <c r="A18" s="409"/>
      <c r="B18" s="513" t="s">
        <v>2848</v>
      </c>
      <c r="C18" s="619"/>
      <c r="D18" s="619"/>
      <c r="E18" s="619"/>
      <c r="F18" s="619"/>
      <c r="G18" s="619"/>
      <c r="H18" s="515"/>
      <c r="I18" s="368"/>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row>
    <row r="19" spans="1:45" s="224" customFormat="1" ht="24.95" customHeight="1">
      <c r="A19" s="317"/>
      <c r="B19" s="346" t="s">
        <v>1</v>
      </c>
      <c r="C19" s="346" t="s">
        <v>2</v>
      </c>
      <c r="D19" s="346" t="s">
        <v>3</v>
      </c>
      <c r="E19" s="346" t="s">
        <v>4</v>
      </c>
      <c r="F19" s="347" t="s">
        <v>1227</v>
      </c>
      <c r="G19" s="348" t="s">
        <v>2783</v>
      </c>
      <c r="H19" s="348" t="s">
        <v>2784</v>
      </c>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row>
    <row r="20" spans="1:45" ht="25.5" customHeight="1">
      <c r="B20" s="139" t="s">
        <v>1940</v>
      </c>
      <c r="C20" s="140" t="s">
        <v>11</v>
      </c>
      <c r="D20" s="141" t="s">
        <v>12</v>
      </c>
      <c r="E20" s="141" t="s">
        <v>13</v>
      </c>
      <c r="F20" s="142"/>
      <c r="G20" s="143"/>
      <c r="H20" s="144"/>
    </row>
    <row r="21" spans="1:45">
      <c r="B21" s="145">
        <v>88243</v>
      </c>
      <c r="C21" s="98" t="s">
        <v>1941</v>
      </c>
      <c r="D21" s="99" t="s">
        <v>1229</v>
      </c>
      <c r="E21" s="99" t="s">
        <v>1129</v>
      </c>
      <c r="F21" s="146">
        <v>8</v>
      </c>
      <c r="G21" s="95">
        <v>22.06</v>
      </c>
      <c r="H21" s="147">
        <f>F21*G21</f>
        <v>176.48</v>
      </c>
    </row>
    <row r="22" spans="1:45">
      <c r="B22" s="145">
        <v>90781</v>
      </c>
      <c r="C22" s="98" t="s">
        <v>1230</v>
      </c>
      <c r="D22" s="99" t="s">
        <v>1229</v>
      </c>
      <c r="E22" s="99" t="s">
        <v>1129</v>
      </c>
      <c r="F22" s="146">
        <v>8</v>
      </c>
      <c r="G22" s="95">
        <v>19.53</v>
      </c>
      <c r="H22" s="147">
        <f t="shared" ref="H22:H23" si="0">F22*G22</f>
        <v>156.24</v>
      </c>
    </row>
    <row r="23" spans="1:45">
      <c r="B23" s="145">
        <v>88253</v>
      </c>
      <c r="C23" s="98" t="s">
        <v>1231</v>
      </c>
      <c r="D23" s="99" t="s">
        <v>1229</v>
      </c>
      <c r="E23" s="99" t="s">
        <v>1129</v>
      </c>
      <c r="F23" s="146">
        <v>16</v>
      </c>
      <c r="G23" s="95">
        <v>8.89</v>
      </c>
      <c r="H23" s="147">
        <f t="shared" si="0"/>
        <v>142.24</v>
      </c>
    </row>
    <row r="24" spans="1:45">
      <c r="B24" s="630" t="s">
        <v>1232</v>
      </c>
      <c r="C24" s="631"/>
      <c r="D24" s="631"/>
      <c r="E24" s="631"/>
      <c r="F24" s="631"/>
      <c r="G24" s="632"/>
      <c r="H24" s="148">
        <f>SUM(H21:H23)</f>
        <v>474.96000000000004</v>
      </c>
    </row>
    <row r="25" spans="1:45">
      <c r="B25" s="639"/>
      <c r="C25" s="640"/>
      <c r="D25" s="640"/>
      <c r="E25" s="640"/>
      <c r="F25" s="640"/>
      <c r="G25" s="640"/>
      <c r="H25" s="641"/>
    </row>
    <row r="26" spans="1:45" ht="38.25" customHeight="1">
      <c r="B26" s="139" t="s">
        <v>1942</v>
      </c>
      <c r="C26" s="140" t="s">
        <v>52</v>
      </c>
      <c r="D26" s="141" t="s">
        <v>12</v>
      </c>
      <c r="E26" s="141" t="s">
        <v>37</v>
      </c>
      <c r="F26" s="142"/>
      <c r="G26" s="143"/>
      <c r="H26" s="144"/>
    </row>
    <row r="27" spans="1:45">
      <c r="B27" s="145">
        <v>88248</v>
      </c>
      <c r="C27" s="98" t="s">
        <v>1943</v>
      </c>
      <c r="D27" s="99" t="s">
        <v>1229</v>
      </c>
      <c r="E27" s="99" t="s">
        <v>1129</v>
      </c>
      <c r="F27" s="94">
        <v>4</v>
      </c>
      <c r="G27" s="95">
        <v>19.170000000000002</v>
      </c>
      <c r="H27" s="147">
        <f>F27*G27</f>
        <v>76.680000000000007</v>
      </c>
    </row>
    <row r="28" spans="1:45">
      <c r="B28" s="145">
        <v>88261</v>
      </c>
      <c r="C28" s="98" t="s">
        <v>1244</v>
      </c>
      <c r="D28" s="99" t="s">
        <v>1229</v>
      </c>
      <c r="E28" s="99" t="s">
        <v>1129</v>
      </c>
      <c r="F28" s="94">
        <v>8</v>
      </c>
      <c r="G28" s="95">
        <v>24.86</v>
      </c>
      <c r="H28" s="147">
        <f t="shared" ref="H28:H43" si="1">F28*G28</f>
        <v>198.88</v>
      </c>
    </row>
    <row r="29" spans="1:45">
      <c r="B29" s="145">
        <v>88267</v>
      </c>
      <c r="C29" s="98" t="s">
        <v>1245</v>
      </c>
      <c r="D29" s="99" t="s">
        <v>1229</v>
      </c>
      <c r="E29" s="99" t="s">
        <v>1129</v>
      </c>
      <c r="F29" s="94">
        <v>8</v>
      </c>
      <c r="G29" s="95">
        <v>24.46</v>
      </c>
      <c r="H29" s="147">
        <f t="shared" si="1"/>
        <v>195.68</v>
      </c>
    </row>
    <row r="30" spans="1:45">
      <c r="B30" s="145">
        <v>88309</v>
      </c>
      <c r="C30" s="98" t="s">
        <v>1246</v>
      </c>
      <c r="D30" s="99" t="s">
        <v>1229</v>
      </c>
      <c r="E30" s="99" t="s">
        <v>1129</v>
      </c>
      <c r="F30" s="94">
        <v>8</v>
      </c>
      <c r="G30" s="95">
        <v>25.07</v>
      </c>
      <c r="H30" s="147">
        <f t="shared" si="1"/>
        <v>200.56</v>
      </c>
    </row>
    <row r="31" spans="1:45">
      <c r="B31" s="145">
        <v>88316</v>
      </c>
      <c r="C31" s="98" t="s">
        <v>1247</v>
      </c>
      <c r="D31" s="99" t="s">
        <v>1229</v>
      </c>
      <c r="E31" s="99" t="s">
        <v>1129</v>
      </c>
      <c r="F31" s="94">
        <v>8.1199999999999992</v>
      </c>
      <c r="G31" s="95">
        <v>18.649999999999999</v>
      </c>
      <c r="H31" s="147">
        <f t="shared" si="1"/>
        <v>151.43799999999996</v>
      </c>
    </row>
    <row r="32" spans="1:45" ht="38.25">
      <c r="B32" s="145">
        <v>1381</v>
      </c>
      <c r="C32" s="98" t="s">
        <v>1248</v>
      </c>
      <c r="D32" s="99" t="s">
        <v>401</v>
      </c>
      <c r="E32" s="99" t="s">
        <v>112</v>
      </c>
      <c r="F32" s="94">
        <v>5</v>
      </c>
      <c r="G32" s="95">
        <v>0.54</v>
      </c>
      <c r="H32" s="147">
        <f t="shared" si="1"/>
        <v>2.7</v>
      </c>
    </row>
    <row r="33" spans="2:8" ht="25.5">
      <c r="B33" s="145">
        <v>7258</v>
      </c>
      <c r="C33" s="98" t="s">
        <v>1944</v>
      </c>
      <c r="D33" s="99" t="s">
        <v>401</v>
      </c>
      <c r="E33" s="99" t="s">
        <v>37</v>
      </c>
      <c r="F33" s="94">
        <v>3</v>
      </c>
      <c r="G33" s="95">
        <v>0.7</v>
      </c>
      <c r="H33" s="147">
        <f t="shared" si="1"/>
        <v>2.0999999999999996</v>
      </c>
    </row>
    <row r="34" spans="2:8">
      <c r="B34" s="145">
        <v>4491</v>
      </c>
      <c r="C34" s="98" t="s">
        <v>1249</v>
      </c>
      <c r="D34" s="99" t="s">
        <v>401</v>
      </c>
      <c r="E34" s="99" t="s">
        <v>15</v>
      </c>
      <c r="F34" s="94">
        <v>2.5</v>
      </c>
      <c r="G34" s="95">
        <v>8.18</v>
      </c>
      <c r="H34" s="147">
        <f t="shared" si="1"/>
        <v>20.45</v>
      </c>
    </row>
    <row r="35" spans="2:8">
      <c r="B35" s="145">
        <v>6212</v>
      </c>
      <c r="C35" s="98" t="s">
        <v>1250</v>
      </c>
      <c r="D35" s="99" t="s">
        <v>401</v>
      </c>
      <c r="E35" s="99" t="s">
        <v>15</v>
      </c>
      <c r="F35" s="94">
        <v>8</v>
      </c>
      <c r="G35" s="95">
        <v>13.57</v>
      </c>
      <c r="H35" s="147">
        <f t="shared" si="1"/>
        <v>108.56</v>
      </c>
    </row>
    <row r="36" spans="2:8" ht="25.5">
      <c r="B36" s="145">
        <v>34636</v>
      </c>
      <c r="C36" s="98" t="s">
        <v>1251</v>
      </c>
      <c r="D36" s="99" t="s">
        <v>12</v>
      </c>
      <c r="E36" s="99" t="s">
        <v>37</v>
      </c>
      <c r="F36" s="94">
        <v>1</v>
      </c>
      <c r="G36" s="95">
        <v>474.95</v>
      </c>
      <c r="H36" s="147">
        <f t="shared" si="1"/>
        <v>474.95</v>
      </c>
    </row>
    <row r="37" spans="2:8">
      <c r="B37" s="145">
        <v>9868</v>
      </c>
      <c r="C37" s="98" t="s">
        <v>1252</v>
      </c>
      <c r="D37" s="99" t="s">
        <v>401</v>
      </c>
      <c r="E37" s="99" t="s">
        <v>15</v>
      </c>
      <c r="F37" s="94">
        <v>3</v>
      </c>
      <c r="G37" s="95">
        <v>4.9000000000000004</v>
      </c>
      <c r="H37" s="147">
        <f t="shared" si="1"/>
        <v>14.700000000000001</v>
      </c>
    </row>
    <row r="38" spans="2:8">
      <c r="B38" s="145">
        <v>4791</v>
      </c>
      <c r="C38" s="98" t="s">
        <v>1253</v>
      </c>
      <c r="D38" s="99" t="s">
        <v>401</v>
      </c>
      <c r="E38" s="99" t="s">
        <v>112</v>
      </c>
      <c r="F38" s="94" t="s">
        <v>1254</v>
      </c>
      <c r="G38" s="95">
        <v>43.3</v>
      </c>
      <c r="H38" s="147">
        <f t="shared" si="1"/>
        <v>2.165</v>
      </c>
    </row>
    <row r="39" spans="2:8" ht="25.5">
      <c r="B39" s="145">
        <v>3148</v>
      </c>
      <c r="C39" s="98" t="s">
        <v>1255</v>
      </c>
      <c r="D39" s="99" t="s">
        <v>401</v>
      </c>
      <c r="E39" s="99" t="s">
        <v>37</v>
      </c>
      <c r="F39" s="94">
        <v>7.2500000000000004E-3</v>
      </c>
      <c r="G39" s="95">
        <v>13.68</v>
      </c>
      <c r="H39" s="147">
        <f t="shared" si="1"/>
        <v>9.9180000000000004E-2</v>
      </c>
    </row>
    <row r="40" spans="2:8">
      <c r="B40" s="145">
        <v>9836</v>
      </c>
      <c r="C40" s="98" t="s">
        <v>1256</v>
      </c>
      <c r="D40" s="99" t="s">
        <v>401</v>
      </c>
      <c r="E40" s="99" t="s">
        <v>15</v>
      </c>
      <c r="F40" s="94">
        <v>5</v>
      </c>
      <c r="G40" s="95">
        <v>17.03</v>
      </c>
      <c r="H40" s="147">
        <f t="shared" si="1"/>
        <v>85.15</v>
      </c>
    </row>
    <row r="41" spans="2:8" ht="38.25">
      <c r="B41" s="145">
        <v>12774</v>
      </c>
      <c r="C41" s="98" t="s">
        <v>1945</v>
      </c>
      <c r="D41" s="99" t="s">
        <v>401</v>
      </c>
      <c r="E41" s="99" t="s">
        <v>37</v>
      </c>
      <c r="F41" s="94">
        <v>1</v>
      </c>
      <c r="G41" s="95">
        <v>127.05</v>
      </c>
      <c r="H41" s="147">
        <f t="shared" si="1"/>
        <v>127.05</v>
      </c>
    </row>
    <row r="42" spans="2:8">
      <c r="B42" s="145">
        <v>10432</v>
      </c>
      <c r="C42" s="98" t="s">
        <v>1946</v>
      </c>
      <c r="D42" s="99" t="s">
        <v>401</v>
      </c>
      <c r="E42" s="99" t="s">
        <v>37</v>
      </c>
      <c r="F42" s="94">
        <v>1</v>
      </c>
      <c r="G42" s="95">
        <v>281.64999999999998</v>
      </c>
      <c r="H42" s="147">
        <f t="shared" si="1"/>
        <v>281.64999999999998</v>
      </c>
    </row>
    <row r="43" spans="2:8">
      <c r="B43" s="145">
        <v>20247</v>
      </c>
      <c r="C43" s="98" t="s">
        <v>1947</v>
      </c>
      <c r="D43" s="99" t="s">
        <v>401</v>
      </c>
      <c r="E43" s="99" t="s">
        <v>112</v>
      </c>
      <c r="F43" s="94">
        <v>1</v>
      </c>
      <c r="G43" s="95">
        <v>26.92</v>
      </c>
      <c r="H43" s="147">
        <f t="shared" si="1"/>
        <v>26.92</v>
      </c>
    </row>
    <row r="44" spans="2:8">
      <c r="B44" s="630" t="s">
        <v>1232</v>
      </c>
      <c r="C44" s="631"/>
      <c r="D44" s="631"/>
      <c r="E44" s="631"/>
      <c r="F44" s="631"/>
      <c r="G44" s="632"/>
      <c r="H44" s="148">
        <f>SUM(H27:H43)</f>
        <v>1969.73218</v>
      </c>
    </row>
    <row r="45" spans="2:8">
      <c r="B45" s="627"/>
      <c r="C45" s="628"/>
      <c r="D45" s="628"/>
      <c r="E45" s="628"/>
      <c r="F45" s="628"/>
      <c r="G45" s="628"/>
      <c r="H45" s="629"/>
    </row>
    <row r="46" spans="2:8" ht="25.5">
      <c r="B46" s="139" t="s">
        <v>1948</v>
      </c>
      <c r="C46" s="140" t="s">
        <v>53</v>
      </c>
      <c r="D46" s="141" t="s">
        <v>12</v>
      </c>
      <c r="E46" s="141" t="s">
        <v>37</v>
      </c>
      <c r="F46" s="142"/>
      <c r="G46" s="143"/>
      <c r="H46" s="144"/>
    </row>
    <row r="47" spans="2:8">
      <c r="B47" s="145">
        <v>88247</v>
      </c>
      <c r="C47" s="98" t="s">
        <v>1257</v>
      </c>
      <c r="D47" s="99" t="s">
        <v>1229</v>
      </c>
      <c r="E47" s="99" t="s">
        <v>1129</v>
      </c>
      <c r="F47" s="94">
        <v>24</v>
      </c>
      <c r="G47" s="95">
        <v>19.84</v>
      </c>
      <c r="H47" s="147">
        <f>F47*G47</f>
        <v>476.15999999999997</v>
      </c>
    </row>
    <row r="48" spans="2:8">
      <c r="B48" s="145">
        <v>88264</v>
      </c>
      <c r="C48" s="98" t="s">
        <v>1258</v>
      </c>
      <c r="D48" s="99" t="s">
        <v>1229</v>
      </c>
      <c r="E48" s="99" t="s">
        <v>1129</v>
      </c>
      <c r="F48" s="94">
        <v>24</v>
      </c>
      <c r="G48" s="95">
        <v>25.32</v>
      </c>
      <c r="H48" s="147">
        <f t="shared" ref="H48:H51" si="2">F48*G48</f>
        <v>607.68000000000006</v>
      </c>
    </row>
    <row r="49" spans="2:8" ht="51">
      <c r="B49" s="145">
        <v>14166</v>
      </c>
      <c r="C49" s="98" t="s">
        <v>2822</v>
      </c>
      <c r="D49" s="99" t="s">
        <v>401</v>
      </c>
      <c r="E49" s="99" t="s">
        <v>37</v>
      </c>
      <c r="F49" s="94">
        <v>1</v>
      </c>
      <c r="G49" s="95">
        <v>1779.81</v>
      </c>
      <c r="H49" s="147">
        <f t="shared" si="2"/>
        <v>1779.81</v>
      </c>
    </row>
    <row r="50" spans="2:8" ht="25.5">
      <c r="B50" s="145">
        <v>1008</v>
      </c>
      <c r="C50" s="98" t="s">
        <v>1259</v>
      </c>
      <c r="D50" s="99" t="s">
        <v>401</v>
      </c>
      <c r="E50" s="99" t="s">
        <v>15</v>
      </c>
      <c r="F50" s="94">
        <v>27</v>
      </c>
      <c r="G50" s="95">
        <v>6.46</v>
      </c>
      <c r="H50" s="147">
        <f t="shared" si="2"/>
        <v>174.42</v>
      </c>
    </row>
    <row r="51" spans="2:8" ht="38.25">
      <c r="B51" s="145" t="s">
        <v>1260</v>
      </c>
      <c r="C51" s="98" t="s">
        <v>1261</v>
      </c>
      <c r="D51" s="99" t="s">
        <v>401</v>
      </c>
      <c r="E51" s="99" t="s">
        <v>37</v>
      </c>
      <c r="F51" s="94">
        <v>1</v>
      </c>
      <c r="G51" s="95">
        <f>933.76*1.1325</f>
        <v>1057.4832000000001</v>
      </c>
      <c r="H51" s="147">
        <f t="shared" si="2"/>
        <v>1057.4832000000001</v>
      </c>
    </row>
    <row r="52" spans="2:8">
      <c r="B52" s="630" t="s">
        <v>1232</v>
      </c>
      <c r="C52" s="631"/>
      <c r="D52" s="631"/>
      <c r="E52" s="631"/>
      <c r="F52" s="631"/>
      <c r="G52" s="632"/>
      <c r="H52" s="148">
        <f>SUM(H47:H51)</f>
        <v>4095.5532000000003</v>
      </c>
    </row>
    <row r="53" spans="2:8">
      <c r="B53" s="621"/>
      <c r="C53" s="622"/>
      <c r="D53" s="622"/>
      <c r="E53" s="622"/>
      <c r="F53" s="622"/>
      <c r="G53" s="622"/>
      <c r="H53" s="623"/>
    </row>
    <row r="54" spans="2:8" ht="25.5">
      <c r="B54" s="139" t="s">
        <v>1949</v>
      </c>
      <c r="C54" s="140" t="s">
        <v>54</v>
      </c>
      <c r="D54" s="141" t="s">
        <v>12</v>
      </c>
      <c r="E54" s="141" t="s">
        <v>37</v>
      </c>
      <c r="F54" s="142"/>
      <c r="G54" s="143"/>
      <c r="H54" s="144"/>
    </row>
    <row r="55" spans="2:8">
      <c r="B55" s="145">
        <v>88267</v>
      </c>
      <c r="C55" s="98" t="s">
        <v>1245</v>
      </c>
      <c r="D55" s="99" t="s">
        <v>1229</v>
      </c>
      <c r="E55" s="99" t="s">
        <v>1129</v>
      </c>
      <c r="F55" s="94">
        <v>1.78</v>
      </c>
      <c r="G55" s="95">
        <v>24.46</v>
      </c>
      <c r="H55" s="147">
        <f>F55*G55</f>
        <v>43.538800000000002</v>
      </c>
    </row>
    <row r="56" spans="2:8">
      <c r="B56" s="145">
        <v>88316</v>
      </c>
      <c r="C56" s="98" t="s">
        <v>1247</v>
      </c>
      <c r="D56" s="99" t="s">
        <v>1229</v>
      </c>
      <c r="E56" s="99" t="s">
        <v>1129</v>
      </c>
      <c r="F56" s="94">
        <v>19.3</v>
      </c>
      <c r="G56" s="95">
        <v>18.649999999999999</v>
      </c>
      <c r="H56" s="147">
        <f t="shared" ref="H56:H65" si="3">F56*G56</f>
        <v>359.94499999999999</v>
      </c>
    </row>
    <row r="57" spans="2:8">
      <c r="B57" s="145" t="s">
        <v>1262</v>
      </c>
      <c r="C57" s="98" t="s">
        <v>1263</v>
      </c>
      <c r="D57" s="99" t="s">
        <v>401</v>
      </c>
      <c r="E57" s="99" t="s">
        <v>112</v>
      </c>
      <c r="F57" s="94">
        <v>14.3</v>
      </c>
      <c r="G57" s="95">
        <f>9.99*1.1325</f>
        <v>11.313675000000002</v>
      </c>
      <c r="H57" s="147">
        <f t="shared" si="3"/>
        <v>161.78555250000002</v>
      </c>
    </row>
    <row r="58" spans="2:8" ht="25.5">
      <c r="B58" s="145">
        <v>305</v>
      </c>
      <c r="C58" s="98" t="s">
        <v>1264</v>
      </c>
      <c r="D58" s="99" t="s">
        <v>401</v>
      </c>
      <c r="E58" s="99" t="s">
        <v>37</v>
      </c>
      <c r="F58" s="94">
        <v>4</v>
      </c>
      <c r="G58" s="95">
        <v>12.51</v>
      </c>
      <c r="H58" s="147">
        <f t="shared" si="3"/>
        <v>50.04</v>
      </c>
    </row>
    <row r="59" spans="2:8">
      <c r="B59" s="145">
        <v>20078</v>
      </c>
      <c r="C59" s="98" t="s">
        <v>1265</v>
      </c>
      <c r="D59" s="99" t="s">
        <v>401</v>
      </c>
      <c r="E59" s="99" t="s">
        <v>112</v>
      </c>
      <c r="F59" s="94" t="s">
        <v>1266</v>
      </c>
      <c r="G59" s="95">
        <v>28.83</v>
      </c>
      <c r="H59" s="147">
        <f t="shared" si="3"/>
        <v>1.2454559999999999</v>
      </c>
    </row>
    <row r="60" spans="2:8">
      <c r="B60" s="145">
        <v>20065</v>
      </c>
      <c r="C60" s="98" t="s">
        <v>1267</v>
      </c>
      <c r="D60" s="99" t="s">
        <v>401</v>
      </c>
      <c r="E60" s="99" t="s">
        <v>15</v>
      </c>
      <c r="F60" s="94">
        <v>12</v>
      </c>
      <c r="G60" s="95">
        <v>43.57</v>
      </c>
      <c r="H60" s="147">
        <f t="shared" si="3"/>
        <v>522.84</v>
      </c>
    </row>
    <row r="61" spans="2:8">
      <c r="B61" s="145">
        <v>13</v>
      </c>
      <c r="C61" s="98" t="s">
        <v>1268</v>
      </c>
      <c r="D61" s="99" t="s">
        <v>401</v>
      </c>
      <c r="E61" s="99" t="s">
        <v>112</v>
      </c>
      <c r="F61" s="94" t="s">
        <v>1269</v>
      </c>
      <c r="G61" s="95">
        <v>14.7</v>
      </c>
      <c r="H61" s="147">
        <f t="shared" si="3"/>
        <v>13.964999999999998</v>
      </c>
    </row>
    <row r="62" spans="2:8" ht="38.25">
      <c r="B62" s="145">
        <v>91533</v>
      </c>
      <c r="C62" s="98" t="s">
        <v>1270</v>
      </c>
      <c r="D62" s="99" t="s">
        <v>1271</v>
      </c>
      <c r="E62" s="99" t="s">
        <v>1272</v>
      </c>
      <c r="F62" s="94" t="s">
        <v>1273</v>
      </c>
      <c r="G62" s="95">
        <v>28.29</v>
      </c>
      <c r="H62" s="147">
        <f t="shared" si="3"/>
        <v>7.0724999999999998</v>
      </c>
    </row>
    <row r="63" spans="2:8" ht="51">
      <c r="B63" s="145">
        <v>5875</v>
      </c>
      <c r="C63" s="98" t="s">
        <v>1274</v>
      </c>
      <c r="D63" s="99" t="s">
        <v>1271</v>
      </c>
      <c r="E63" s="99" t="s">
        <v>1272</v>
      </c>
      <c r="F63" s="94" t="s">
        <v>1275</v>
      </c>
      <c r="G63" s="95">
        <v>106.73</v>
      </c>
      <c r="H63" s="147">
        <f t="shared" si="3"/>
        <v>8.5384000000000011</v>
      </c>
    </row>
    <row r="64" spans="2:8" ht="25.5">
      <c r="B64" s="145">
        <v>67826</v>
      </c>
      <c r="C64" s="98" t="s">
        <v>1950</v>
      </c>
      <c r="D64" s="99" t="s">
        <v>1271</v>
      </c>
      <c r="E64" s="99" t="s">
        <v>1272</v>
      </c>
      <c r="F64" s="94" t="s">
        <v>1276</v>
      </c>
      <c r="G64" s="95">
        <v>151.34</v>
      </c>
      <c r="H64" s="147">
        <f t="shared" si="3"/>
        <v>9.0803999999999991</v>
      </c>
    </row>
    <row r="65" spans="2:8" ht="25.5">
      <c r="B65" s="149" t="s">
        <v>1277</v>
      </c>
      <c r="C65" s="150" t="s">
        <v>1278</v>
      </c>
      <c r="D65" s="151" t="s">
        <v>1271</v>
      </c>
      <c r="E65" s="151" t="s">
        <v>1272</v>
      </c>
      <c r="F65" s="152" t="s">
        <v>1279</v>
      </c>
      <c r="G65" s="153">
        <f>93.74*1.1325</f>
        <v>106.16055</v>
      </c>
      <c r="H65" s="147">
        <f t="shared" si="3"/>
        <v>10.616055000000001</v>
      </c>
    </row>
    <row r="66" spans="2:8">
      <c r="B66" s="642" t="s">
        <v>1232</v>
      </c>
      <c r="C66" s="643"/>
      <c r="D66" s="643"/>
      <c r="E66" s="643"/>
      <c r="F66" s="643"/>
      <c r="G66" s="644"/>
      <c r="H66" s="148">
        <f>SUM(H55:H65)</f>
        <v>1188.6671634999998</v>
      </c>
    </row>
    <row r="67" spans="2:8">
      <c r="B67" s="627"/>
      <c r="C67" s="628"/>
      <c r="D67" s="628"/>
      <c r="E67" s="628"/>
      <c r="F67" s="628"/>
      <c r="G67" s="628"/>
      <c r="H67" s="629"/>
    </row>
    <row r="68" spans="2:8" ht="25.5">
      <c r="B68" s="139" t="s">
        <v>1951</v>
      </c>
      <c r="C68" s="140" t="s">
        <v>55</v>
      </c>
      <c r="D68" s="141" t="s">
        <v>12</v>
      </c>
      <c r="E68" s="141" t="s">
        <v>37</v>
      </c>
      <c r="F68" s="142"/>
      <c r="G68" s="143"/>
      <c r="H68" s="144"/>
    </row>
    <row r="69" spans="2:8">
      <c r="B69" s="145">
        <v>88243</v>
      </c>
      <c r="C69" s="98" t="s">
        <v>1228</v>
      </c>
      <c r="D69" s="99" t="s">
        <v>1229</v>
      </c>
      <c r="E69" s="99" t="s">
        <v>1129</v>
      </c>
      <c r="F69" s="94">
        <v>2</v>
      </c>
      <c r="G69" s="95">
        <v>22.06</v>
      </c>
      <c r="H69" s="147">
        <f>F69*G69</f>
        <v>44.12</v>
      </c>
    </row>
    <row r="70" spans="2:8">
      <c r="B70" s="145">
        <v>88267</v>
      </c>
      <c r="C70" s="98" t="s">
        <v>1245</v>
      </c>
      <c r="D70" s="99" t="s">
        <v>1229</v>
      </c>
      <c r="E70" s="99" t="s">
        <v>1129</v>
      </c>
      <c r="F70" s="94">
        <v>2</v>
      </c>
      <c r="G70" s="95">
        <v>24.46</v>
      </c>
      <c r="H70" s="147">
        <f t="shared" ref="H70:H74" si="4">F70*G70</f>
        <v>48.92</v>
      </c>
    </row>
    <row r="71" spans="2:8">
      <c r="B71" s="145">
        <v>88316</v>
      </c>
      <c r="C71" s="98" t="s">
        <v>1247</v>
      </c>
      <c r="D71" s="99" t="s">
        <v>1229</v>
      </c>
      <c r="E71" s="99" t="s">
        <v>1129</v>
      </c>
      <c r="F71" s="94" t="s">
        <v>1280</v>
      </c>
      <c r="G71" s="95">
        <v>18.649999999999999</v>
      </c>
      <c r="H71" s="147">
        <f t="shared" si="4"/>
        <v>9.3249999999999993</v>
      </c>
    </row>
    <row r="72" spans="2:8" ht="25.5">
      <c r="B72" s="145">
        <v>3148</v>
      </c>
      <c r="C72" s="98" t="s">
        <v>1255</v>
      </c>
      <c r="D72" s="99" t="s">
        <v>401</v>
      </c>
      <c r="E72" s="99" t="s">
        <v>37</v>
      </c>
      <c r="F72" s="94">
        <v>3.5680000000000003E-2</v>
      </c>
      <c r="G72" s="95">
        <v>13.68</v>
      </c>
      <c r="H72" s="147">
        <f t="shared" si="4"/>
        <v>0.48810240000000005</v>
      </c>
    </row>
    <row r="73" spans="2:8" ht="38.25">
      <c r="B73" s="145">
        <v>25583</v>
      </c>
      <c r="C73" s="98" t="s">
        <v>1952</v>
      </c>
      <c r="D73" s="99" t="s">
        <v>401</v>
      </c>
      <c r="E73" s="99" t="s">
        <v>15</v>
      </c>
      <c r="F73" s="94">
        <v>1.05</v>
      </c>
      <c r="G73" s="95">
        <f>20.16*1.1325</f>
        <v>22.831200000000003</v>
      </c>
      <c r="H73" s="147">
        <f t="shared" si="4"/>
        <v>23.972760000000005</v>
      </c>
    </row>
    <row r="74" spans="2:8" ht="25.5">
      <c r="B74" s="145">
        <v>95637</v>
      </c>
      <c r="C74" s="98" t="s">
        <v>1953</v>
      </c>
      <c r="D74" s="99" t="s">
        <v>12</v>
      </c>
      <c r="E74" s="99" t="s">
        <v>37</v>
      </c>
      <c r="F74" s="94">
        <v>1</v>
      </c>
      <c r="G74" s="95">
        <v>534.41</v>
      </c>
      <c r="H74" s="147">
        <f t="shared" si="4"/>
        <v>534.41</v>
      </c>
    </row>
    <row r="75" spans="2:8">
      <c r="B75" s="630" t="s">
        <v>1232</v>
      </c>
      <c r="C75" s="631"/>
      <c r="D75" s="631"/>
      <c r="E75" s="631"/>
      <c r="F75" s="631"/>
      <c r="G75" s="632"/>
      <c r="H75" s="148">
        <f>SUM(H69:H74)</f>
        <v>661.23586239999997</v>
      </c>
    </row>
    <row r="76" spans="2:8">
      <c r="B76" s="636"/>
      <c r="C76" s="637"/>
      <c r="D76" s="637"/>
      <c r="E76" s="637"/>
      <c r="F76" s="637"/>
      <c r="G76" s="637"/>
      <c r="H76" s="638"/>
    </row>
    <row r="77" spans="2:8" ht="51">
      <c r="B77" s="139" t="s">
        <v>1954</v>
      </c>
      <c r="C77" s="140" t="s">
        <v>77</v>
      </c>
      <c r="D77" s="141" t="s">
        <v>12</v>
      </c>
      <c r="E77" s="141" t="s">
        <v>24</v>
      </c>
      <c r="F77" s="142"/>
      <c r="G77" s="143"/>
      <c r="H77" s="144"/>
    </row>
    <row r="78" spans="2:8" ht="63.75">
      <c r="B78" s="145" t="s">
        <v>1295</v>
      </c>
      <c r="C78" s="98" t="s">
        <v>1296</v>
      </c>
      <c r="D78" s="99" t="s">
        <v>12</v>
      </c>
      <c r="E78" s="99" t="s">
        <v>1292</v>
      </c>
      <c r="F78" s="94" t="s">
        <v>1297</v>
      </c>
      <c r="G78" s="95">
        <v>198.8</v>
      </c>
      <c r="H78" s="147">
        <f>F78*G78</f>
        <v>0.59640000000000004</v>
      </c>
    </row>
    <row r="79" spans="2:8" ht="25.5">
      <c r="B79" s="145" t="s">
        <v>1286</v>
      </c>
      <c r="C79" s="98" t="s">
        <v>1287</v>
      </c>
      <c r="D79" s="99" t="s">
        <v>12</v>
      </c>
      <c r="E79" s="99" t="s">
        <v>1129</v>
      </c>
      <c r="F79" s="94" t="s">
        <v>1297</v>
      </c>
      <c r="G79" s="95">
        <v>18.649999999999999</v>
      </c>
      <c r="H79" s="147">
        <f>F79*G79</f>
        <v>5.595E-2</v>
      </c>
    </row>
    <row r="80" spans="2:8" ht="15" customHeight="1">
      <c r="B80" s="630" t="s">
        <v>1232</v>
      </c>
      <c r="C80" s="631"/>
      <c r="D80" s="631"/>
      <c r="E80" s="631"/>
      <c r="F80" s="631"/>
      <c r="G80" s="632"/>
      <c r="H80" s="148">
        <f>SUM(H78:H79)</f>
        <v>0.65234999999999999</v>
      </c>
    </row>
    <row r="81" spans="2:8">
      <c r="B81" s="621"/>
      <c r="C81" s="622"/>
      <c r="D81" s="622"/>
      <c r="E81" s="622"/>
      <c r="F81" s="622"/>
      <c r="G81" s="622"/>
      <c r="H81" s="623"/>
    </row>
    <row r="82" spans="2:8" ht="25.5">
      <c r="B82" s="139" t="s">
        <v>1955</v>
      </c>
      <c r="C82" s="140" t="s">
        <v>79</v>
      </c>
      <c r="D82" s="141" t="s">
        <v>12</v>
      </c>
      <c r="E82" s="141" t="s">
        <v>75</v>
      </c>
      <c r="F82" s="142"/>
      <c r="G82" s="143"/>
      <c r="H82" s="144"/>
    </row>
    <row r="83" spans="2:8" ht="38.25">
      <c r="B83" s="145" t="s">
        <v>1298</v>
      </c>
      <c r="C83" s="98" t="s">
        <v>1299</v>
      </c>
      <c r="D83" s="99" t="s">
        <v>12</v>
      </c>
      <c r="E83" s="99" t="s">
        <v>1292</v>
      </c>
      <c r="F83" s="94" t="s">
        <v>1300</v>
      </c>
      <c r="G83" s="95">
        <v>219.83</v>
      </c>
      <c r="H83" s="147">
        <f>F83*G83</f>
        <v>6.6828320000000003</v>
      </c>
    </row>
    <row r="84" spans="2:8" ht="15" customHeight="1">
      <c r="B84" s="630" t="s">
        <v>1232</v>
      </c>
      <c r="C84" s="631"/>
      <c r="D84" s="631"/>
      <c r="E84" s="631"/>
      <c r="F84" s="631"/>
      <c r="G84" s="632"/>
      <c r="H84" s="148">
        <f>SUM(H83)</f>
        <v>6.6828320000000003</v>
      </c>
    </row>
    <row r="85" spans="2:8">
      <c r="B85" s="621"/>
      <c r="C85" s="622"/>
      <c r="D85" s="622"/>
      <c r="E85" s="622"/>
      <c r="F85" s="622"/>
      <c r="G85" s="622"/>
      <c r="H85" s="623"/>
    </row>
    <row r="86" spans="2:8" ht="89.25">
      <c r="B86" s="154" t="s">
        <v>1956</v>
      </c>
      <c r="C86" s="155" t="s">
        <v>97</v>
      </c>
      <c r="D86" s="156" t="s">
        <v>12</v>
      </c>
      <c r="E86" s="156" t="s">
        <v>37</v>
      </c>
      <c r="F86" s="157"/>
      <c r="G86" s="158"/>
      <c r="H86" s="159"/>
    </row>
    <row r="87" spans="2:8" ht="63.75">
      <c r="B87" s="160" t="s">
        <v>1302</v>
      </c>
      <c r="C87" s="161" t="s">
        <v>97</v>
      </c>
      <c r="D87" s="162" t="s">
        <v>1303</v>
      </c>
      <c r="E87" s="162" t="s">
        <v>37</v>
      </c>
      <c r="F87" s="163">
        <v>1</v>
      </c>
      <c r="G87" s="164">
        <f>27417.6*1.1325</f>
        <v>31050.432000000001</v>
      </c>
      <c r="H87" s="165">
        <f>F87*G87</f>
        <v>31050.432000000001</v>
      </c>
    </row>
    <row r="88" spans="2:8">
      <c r="B88" s="624" t="s">
        <v>1232</v>
      </c>
      <c r="C88" s="625"/>
      <c r="D88" s="625"/>
      <c r="E88" s="625"/>
      <c r="F88" s="625"/>
      <c r="G88" s="626"/>
      <c r="H88" s="166">
        <f>SUM(H87)</f>
        <v>31050.432000000001</v>
      </c>
    </row>
    <row r="89" spans="2:8">
      <c r="B89" s="627"/>
      <c r="C89" s="628"/>
      <c r="D89" s="628"/>
      <c r="E89" s="628"/>
      <c r="F89" s="628"/>
      <c r="G89" s="628"/>
      <c r="H89" s="629"/>
    </row>
    <row r="90" spans="2:8" ht="89.25">
      <c r="B90" s="139" t="s">
        <v>1957</v>
      </c>
      <c r="C90" s="140" t="s">
        <v>98</v>
      </c>
      <c r="D90" s="141" t="s">
        <v>12</v>
      </c>
      <c r="E90" s="141" t="s">
        <v>75</v>
      </c>
      <c r="F90" s="142"/>
      <c r="G90" s="143"/>
      <c r="H90" s="144"/>
    </row>
    <row r="91" spans="2:8" ht="76.5">
      <c r="B91" s="145" t="s">
        <v>1304</v>
      </c>
      <c r="C91" s="98" t="s">
        <v>1305</v>
      </c>
      <c r="D91" s="99" t="s">
        <v>12</v>
      </c>
      <c r="E91" s="99" t="s">
        <v>1292</v>
      </c>
      <c r="F91" s="94" t="s">
        <v>1297</v>
      </c>
      <c r="G91" s="95">
        <v>180.32</v>
      </c>
      <c r="H91" s="147">
        <f>F91*G91</f>
        <v>0.54096</v>
      </c>
    </row>
    <row r="92" spans="2:8" ht="63.75">
      <c r="B92" s="145" t="s">
        <v>1306</v>
      </c>
      <c r="C92" s="98" t="s">
        <v>1307</v>
      </c>
      <c r="D92" s="99" t="s">
        <v>12</v>
      </c>
      <c r="E92" s="99" t="s">
        <v>1292</v>
      </c>
      <c r="F92" s="94" t="s">
        <v>1308</v>
      </c>
      <c r="G92" s="95">
        <v>155.74</v>
      </c>
      <c r="H92" s="147">
        <f t="shared" ref="H92:H93" si="5">F92*G92</f>
        <v>1.2459200000000001</v>
      </c>
    </row>
    <row r="93" spans="2:8" ht="25.5">
      <c r="B93" s="145" t="s">
        <v>1286</v>
      </c>
      <c r="C93" s="98" t="s">
        <v>1287</v>
      </c>
      <c r="D93" s="99" t="s">
        <v>12</v>
      </c>
      <c r="E93" s="99" t="s">
        <v>1129</v>
      </c>
      <c r="F93" s="94" t="s">
        <v>1308</v>
      </c>
      <c r="G93" s="95">
        <v>18.649999999999999</v>
      </c>
      <c r="H93" s="147">
        <f t="shared" si="5"/>
        <v>0.1492</v>
      </c>
    </row>
    <row r="94" spans="2:8">
      <c r="B94" s="630" t="s">
        <v>1232</v>
      </c>
      <c r="C94" s="631"/>
      <c r="D94" s="631"/>
      <c r="E94" s="631"/>
      <c r="F94" s="631"/>
      <c r="G94" s="632"/>
      <c r="H94" s="166">
        <f>SUM(H91:H93)</f>
        <v>1.93608</v>
      </c>
    </row>
    <row r="95" spans="2:8">
      <c r="B95" s="621"/>
      <c r="C95" s="622"/>
      <c r="D95" s="622"/>
      <c r="E95" s="622"/>
      <c r="F95" s="622"/>
      <c r="G95" s="622"/>
      <c r="H95" s="623"/>
    </row>
    <row r="96" spans="2:8" ht="76.5">
      <c r="B96" s="139" t="s">
        <v>1958</v>
      </c>
      <c r="C96" s="140" t="s">
        <v>100</v>
      </c>
      <c r="D96" s="141" t="s">
        <v>12</v>
      </c>
      <c r="E96" s="141" t="s">
        <v>15</v>
      </c>
      <c r="F96" s="142"/>
      <c r="G96" s="143"/>
      <c r="H96" s="144"/>
    </row>
    <row r="97" spans="2:8" ht="63.75">
      <c r="B97" s="145">
        <v>38464</v>
      </c>
      <c r="C97" s="98" t="s">
        <v>1309</v>
      </c>
      <c r="D97" s="99" t="s">
        <v>401</v>
      </c>
      <c r="E97" s="99" t="s">
        <v>75</v>
      </c>
      <c r="F97" s="94" t="s">
        <v>1242</v>
      </c>
      <c r="G97" s="95">
        <v>397.4</v>
      </c>
      <c r="H97" s="147">
        <f>F97*G97</f>
        <v>41.48856</v>
      </c>
    </row>
    <row r="98" spans="2:8" ht="76.5">
      <c r="B98" s="145" t="s">
        <v>2174</v>
      </c>
      <c r="C98" s="98" t="s">
        <v>98</v>
      </c>
      <c r="D98" s="99" t="s">
        <v>12</v>
      </c>
      <c r="E98" s="99" t="s">
        <v>75</v>
      </c>
      <c r="F98" s="94" t="s">
        <v>1310</v>
      </c>
      <c r="G98" s="95">
        <f>H94</f>
        <v>1.93608</v>
      </c>
      <c r="H98" s="147">
        <f t="shared" ref="H98:H103" si="6">F98*G98</f>
        <v>0.17095586400000001</v>
      </c>
    </row>
    <row r="99" spans="2:8" ht="25.5">
      <c r="B99" s="145" t="s">
        <v>1286</v>
      </c>
      <c r="C99" s="98" t="s">
        <v>1287</v>
      </c>
      <c r="D99" s="99" t="s">
        <v>12</v>
      </c>
      <c r="E99" s="99" t="s">
        <v>1129</v>
      </c>
      <c r="F99" s="94" t="s">
        <v>1311</v>
      </c>
      <c r="G99" s="95">
        <v>18.649999999999999</v>
      </c>
      <c r="H99" s="147">
        <f t="shared" si="6"/>
        <v>2.38347</v>
      </c>
    </row>
    <row r="100" spans="2:8" ht="89.25">
      <c r="B100" s="145" t="s">
        <v>1312</v>
      </c>
      <c r="C100" s="98" t="s">
        <v>1313</v>
      </c>
      <c r="D100" s="99" t="s">
        <v>12</v>
      </c>
      <c r="E100" s="99" t="s">
        <v>1292</v>
      </c>
      <c r="F100" s="94" t="s">
        <v>1314</v>
      </c>
      <c r="G100" s="95">
        <v>566.75</v>
      </c>
      <c r="H100" s="147">
        <f t="shared" si="6"/>
        <v>11.958425</v>
      </c>
    </row>
    <row r="101" spans="2:8" ht="89.25">
      <c r="B101" s="145" t="s">
        <v>1315</v>
      </c>
      <c r="C101" s="98" t="s">
        <v>1316</v>
      </c>
      <c r="D101" s="99" t="s">
        <v>12</v>
      </c>
      <c r="E101" s="99" t="s">
        <v>1293</v>
      </c>
      <c r="F101" s="94" t="s">
        <v>1317</v>
      </c>
      <c r="G101" s="95">
        <v>228.07</v>
      </c>
      <c r="H101" s="147">
        <f t="shared" si="6"/>
        <v>4.9035049999999991</v>
      </c>
    </row>
    <row r="102" spans="2:8" ht="51">
      <c r="B102" s="145" t="s">
        <v>1318</v>
      </c>
      <c r="C102" s="98" t="s">
        <v>1319</v>
      </c>
      <c r="D102" s="99" t="s">
        <v>12</v>
      </c>
      <c r="E102" s="99" t="s">
        <v>1129</v>
      </c>
      <c r="F102" s="94" t="s">
        <v>1320</v>
      </c>
      <c r="G102" s="95">
        <v>124.6</v>
      </c>
      <c r="H102" s="147">
        <f t="shared" si="6"/>
        <v>5.3079599999999996</v>
      </c>
    </row>
    <row r="103" spans="2:8" ht="51">
      <c r="B103" s="145" t="s">
        <v>1321</v>
      </c>
      <c r="C103" s="98" t="s">
        <v>1322</v>
      </c>
      <c r="D103" s="99" t="s">
        <v>12</v>
      </c>
      <c r="E103" s="99" t="s">
        <v>108</v>
      </c>
      <c r="F103" s="94" t="s">
        <v>1323</v>
      </c>
      <c r="G103" s="95">
        <v>2.58</v>
      </c>
      <c r="H103" s="147">
        <f t="shared" si="6"/>
        <v>6.837E-2</v>
      </c>
    </row>
    <row r="104" spans="2:8">
      <c r="B104" s="630" t="s">
        <v>1232</v>
      </c>
      <c r="C104" s="631"/>
      <c r="D104" s="631"/>
      <c r="E104" s="631"/>
      <c r="F104" s="631"/>
      <c r="G104" s="632"/>
      <c r="H104" s="148">
        <f>SUM(H97:H103)</f>
        <v>66.281245863999999</v>
      </c>
    </row>
    <row r="105" spans="2:8">
      <c r="B105" s="621"/>
      <c r="C105" s="622"/>
      <c r="D105" s="622"/>
      <c r="E105" s="622"/>
      <c r="F105" s="622"/>
      <c r="G105" s="622"/>
      <c r="H105" s="623"/>
    </row>
    <row r="106" spans="2:8" ht="76.5">
      <c r="B106" s="139" t="s">
        <v>1959</v>
      </c>
      <c r="C106" s="140" t="s">
        <v>102</v>
      </c>
      <c r="D106" s="141" t="s">
        <v>12</v>
      </c>
      <c r="E106" s="141" t="s">
        <v>15</v>
      </c>
      <c r="F106" s="142"/>
      <c r="G106" s="143"/>
      <c r="H106" s="144"/>
    </row>
    <row r="107" spans="2:8" ht="63.75">
      <c r="B107" s="145">
        <v>38464</v>
      </c>
      <c r="C107" s="98" t="s">
        <v>1309</v>
      </c>
      <c r="D107" s="99" t="s">
        <v>401</v>
      </c>
      <c r="E107" s="99" t="s">
        <v>75</v>
      </c>
      <c r="F107" s="94" t="s">
        <v>1324</v>
      </c>
      <c r="G107" s="95">
        <v>397.4</v>
      </c>
      <c r="H107" s="147">
        <f>F107*G107</f>
        <v>64.895420000000001</v>
      </c>
    </row>
    <row r="108" spans="2:8" ht="76.5">
      <c r="B108" s="145" t="s">
        <v>2174</v>
      </c>
      <c r="C108" s="98" t="s">
        <v>98</v>
      </c>
      <c r="D108" s="99" t="s">
        <v>12</v>
      </c>
      <c r="E108" s="99" t="s">
        <v>75</v>
      </c>
      <c r="F108" s="94" t="s">
        <v>1324</v>
      </c>
      <c r="G108" s="95">
        <f>H94</f>
        <v>1.93608</v>
      </c>
      <c r="H108" s="147">
        <f t="shared" ref="H108:H113" si="7">F108*G108</f>
        <v>0.31616186400000001</v>
      </c>
    </row>
    <row r="109" spans="2:8" ht="25.5">
      <c r="B109" s="145" t="s">
        <v>1286</v>
      </c>
      <c r="C109" s="98" t="s">
        <v>1287</v>
      </c>
      <c r="D109" s="99" t="s">
        <v>12</v>
      </c>
      <c r="E109" s="99" t="s">
        <v>1129</v>
      </c>
      <c r="F109" s="94" t="s">
        <v>1325</v>
      </c>
      <c r="G109" s="95">
        <v>18.649999999999999</v>
      </c>
      <c r="H109" s="147">
        <f t="shared" si="7"/>
        <v>2.3498999999999999</v>
      </c>
    </row>
    <row r="110" spans="2:8" ht="89.25">
      <c r="B110" s="145" t="s">
        <v>1312</v>
      </c>
      <c r="C110" s="98" t="s">
        <v>1313</v>
      </c>
      <c r="D110" s="99" t="s">
        <v>12</v>
      </c>
      <c r="E110" s="99" t="s">
        <v>1292</v>
      </c>
      <c r="F110" s="94" t="s">
        <v>1326</v>
      </c>
      <c r="G110" s="95">
        <v>566.75</v>
      </c>
      <c r="H110" s="147">
        <f t="shared" si="7"/>
        <v>12.411825</v>
      </c>
    </row>
    <row r="111" spans="2:8" ht="89.25">
      <c r="B111" s="145" t="s">
        <v>1315</v>
      </c>
      <c r="C111" s="98" t="s">
        <v>1316</v>
      </c>
      <c r="D111" s="99" t="s">
        <v>12</v>
      </c>
      <c r="E111" s="99" t="s">
        <v>1293</v>
      </c>
      <c r="F111" s="94" t="s">
        <v>1239</v>
      </c>
      <c r="G111" s="95">
        <v>228.07</v>
      </c>
      <c r="H111" s="147">
        <f t="shared" si="7"/>
        <v>5.9754339999999999</v>
      </c>
    </row>
    <row r="112" spans="2:8" ht="51">
      <c r="B112" s="145" t="s">
        <v>1318</v>
      </c>
      <c r="C112" s="98" t="s">
        <v>1319</v>
      </c>
      <c r="D112" s="99" t="s">
        <v>12</v>
      </c>
      <c r="E112" s="99" t="s">
        <v>1129</v>
      </c>
      <c r="F112" s="94" t="s">
        <v>1327</v>
      </c>
      <c r="G112" s="95">
        <v>124.6</v>
      </c>
      <c r="H112" s="147">
        <f t="shared" si="7"/>
        <v>5.9932599999999994</v>
      </c>
    </row>
    <row r="113" spans="2:8" ht="51">
      <c r="B113" s="145" t="s">
        <v>1321</v>
      </c>
      <c r="C113" s="98" t="s">
        <v>1322</v>
      </c>
      <c r="D113" s="99" t="s">
        <v>12</v>
      </c>
      <c r="E113" s="99" t="s">
        <v>108</v>
      </c>
      <c r="F113" s="94" t="s">
        <v>1328</v>
      </c>
      <c r="G113" s="95">
        <v>2.58</v>
      </c>
      <c r="H113" s="147">
        <f t="shared" si="7"/>
        <v>0.189888</v>
      </c>
    </row>
    <row r="114" spans="2:8">
      <c r="B114" s="630" t="s">
        <v>1232</v>
      </c>
      <c r="C114" s="631"/>
      <c r="D114" s="631"/>
      <c r="E114" s="631"/>
      <c r="F114" s="631"/>
      <c r="G114" s="632"/>
      <c r="H114" s="148">
        <f>SUM(H107:H113)</f>
        <v>92.13188886399999</v>
      </c>
    </row>
    <row r="115" spans="2:8">
      <c r="B115" s="621"/>
      <c r="C115" s="622"/>
      <c r="D115" s="622"/>
      <c r="E115" s="622"/>
      <c r="F115" s="622"/>
      <c r="G115" s="622"/>
      <c r="H115" s="623"/>
    </row>
    <row r="116" spans="2:8" ht="76.5">
      <c r="B116" s="139" t="s">
        <v>1960</v>
      </c>
      <c r="C116" s="140" t="s">
        <v>104</v>
      </c>
      <c r="D116" s="141" t="s">
        <v>12</v>
      </c>
      <c r="E116" s="141" t="s">
        <v>15</v>
      </c>
      <c r="F116" s="142"/>
      <c r="G116" s="143"/>
      <c r="H116" s="144"/>
    </row>
    <row r="117" spans="2:8" ht="63.75">
      <c r="B117" s="145">
        <v>38464</v>
      </c>
      <c r="C117" s="98" t="s">
        <v>1309</v>
      </c>
      <c r="D117" s="99" t="s">
        <v>401</v>
      </c>
      <c r="E117" s="99" t="s">
        <v>75</v>
      </c>
      <c r="F117" s="94" t="s">
        <v>1329</v>
      </c>
      <c r="G117" s="95">
        <v>397.4</v>
      </c>
      <c r="H117" s="147">
        <f>F117*G117</f>
        <v>106.26476000000001</v>
      </c>
    </row>
    <row r="118" spans="2:8" ht="76.5">
      <c r="B118" s="145" t="s">
        <v>2174</v>
      </c>
      <c r="C118" s="98" t="s">
        <v>98</v>
      </c>
      <c r="D118" s="99" t="s">
        <v>12</v>
      </c>
      <c r="E118" s="99" t="s">
        <v>75</v>
      </c>
      <c r="F118" s="94" t="s">
        <v>1330</v>
      </c>
      <c r="G118" s="95">
        <f>H94</f>
        <v>1.93608</v>
      </c>
      <c r="H118" s="147">
        <f t="shared" ref="H118:H123" si="8">F118*G118</f>
        <v>0.47492042400000001</v>
      </c>
    </row>
    <row r="119" spans="2:8" ht="25.5">
      <c r="B119" s="145" t="s">
        <v>1286</v>
      </c>
      <c r="C119" s="98" t="s">
        <v>1287</v>
      </c>
      <c r="D119" s="99" t="s">
        <v>12</v>
      </c>
      <c r="E119" s="99" t="s">
        <v>1129</v>
      </c>
      <c r="F119" s="94" t="s">
        <v>1331</v>
      </c>
      <c r="G119" s="95">
        <v>18.649999999999999</v>
      </c>
      <c r="H119" s="147">
        <f t="shared" si="8"/>
        <v>2.691195</v>
      </c>
    </row>
    <row r="120" spans="2:8" ht="89.25">
      <c r="B120" s="145" t="s">
        <v>1312</v>
      </c>
      <c r="C120" s="98" t="s">
        <v>1313</v>
      </c>
      <c r="D120" s="99" t="s">
        <v>12</v>
      </c>
      <c r="E120" s="99" t="s">
        <v>1292</v>
      </c>
      <c r="F120" s="94" t="s">
        <v>1326</v>
      </c>
      <c r="G120" s="95">
        <v>566.75</v>
      </c>
      <c r="H120" s="147">
        <f t="shared" si="8"/>
        <v>12.411825</v>
      </c>
    </row>
    <row r="121" spans="2:8" ht="89.25">
      <c r="B121" s="145" t="s">
        <v>1315</v>
      </c>
      <c r="C121" s="98" t="s">
        <v>1316</v>
      </c>
      <c r="D121" s="99" t="s">
        <v>12</v>
      </c>
      <c r="E121" s="99" t="s">
        <v>1293</v>
      </c>
      <c r="F121" s="94" t="s">
        <v>1239</v>
      </c>
      <c r="G121" s="95">
        <v>228.07</v>
      </c>
      <c r="H121" s="147">
        <f t="shared" si="8"/>
        <v>5.9754339999999999</v>
      </c>
    </row>
    <row r="122" spans="2:8" ht="51">
      <c r="B122" s="145" t="s">
        <v>1318</v>
      </c>
      <c r="C122" s="98" t="s">
        <v>1319</v>
      </c>
      <c r="D122" s="99" t="s">
        <v>12</v>
      </c>
      <c r="E122" s="99" t="s">
        <v>1129</v>
      </c>
      <c r="F122" s="94" t="s">
        <v>1327</v>
      </c>
      <c r="G122" s="95">
        <v>124.6</v>
      </c>
      <c r="H122" s="147">
        <f t="shared" si="8"/>
        <v>5.9932599999999994</v>
      </c>
    </row>
    <row r="123" spans="2:8" ht="51">
      <c r="B123" s="145" t="s">
        <v>1321</v>
      </c>
      <c r="C123" s="98" t="s">
        <v>1322</v>
      </c>
      <c r="D123" s="99" t="s">
        <v>12</v>
      </c>
      <c r="E123" s="99" t="s">
        <v>108</v>
      </c>
      <c r="F123" s="94" t="s">
        <v>1328</v>
      </c>
      <c r="G123" s="95">
        <v>2.58</v>
      </c>
      <c r="H123" s="147">
        <f t="shared" si="8"/>
        <v>0.189888</v>
      </c>
    </row>
    <row r="124" spans="2:8">
      <c r="B124" s="630" t="s">
        <v>1232</v>
      </c>
      <c r="C124" s="631"/>
      <c r="D124" s="631"/>
      <c r="E124" s="631"/>
      <c r="F124" s="631"/>
      <c r="G124" s="632"/>
      <c r="H124" s="148">
        <f>SUM(H117:H123)</f>
        <v>134.00128242400001</v>
      </c>
    </row>
    <row r="125" spans="2:8">
      <c r="B125" s="621"/>
      <c r="C125" s="622"/>
      <c r="D125" s="622"/>
      <c r="E125" s="622"/>
      <c r="F125" s="622"/>
      <c r="G125" s="622"/>
      <c r="H125" s="623"/>
    </row>
    <row r="126" spans="2:8" ht="63.75">
      <c r="B126" s="139" t="s">
        <v>1961</v>
      </c>
      <c r="C126" s="140" t="s">
        <v>173</v>
      </c>
      <c r="D126" s="141" t="s">
        <v>12</v>
      </c>
      <c r="E126" s="141" t="s">
        <v>75</v>
      </c>
      <c r="F126" s="142"/>
      <c r="G126" s="143"/>
      <c r="H126" s="144"/>
    </row>
    <row r="127" spans="2:8" ht="63.75">
      <c r="B127" s="145">
        <v>1527</v>
      </c>
      <c r="C127" s="98" t="s">
        <v>1347</v>
      </c>
      <c r="D127" s="99" t="s">
        <v>401</v>
      </c>
      <c r="E127" s="99" t="s">
        <v>75</v>
      </c>
      <c r="F127" s="94">
        <v>1.1499999999999999</v>
      </c>
      <c r="G127" s="95">
        <v>367.57</v>
      </c>
      <c r="H127" s="147">
        <f>F127*G127</f>
        <v>422.70549999999997</v>
      </c>
    </row>
    <row r="128" spans="2:8" ht="25.5">
      <c r="B128" s="145" t="s">
        <v>1338</v>
      </c>
      <c r="C128" s="98" t="s">
        <v>1339</v>
      </c>
      <c r="D128" s="99" t="s">
        <v>12</v>
      </c>
      <c r="E128" s="99" t="s">
        <v>1129</v>
      </c>
      <c r="F128" s="94" t="s">
        <v>1348</v>
      </c>
      <c r="G128" s="95">
        <v>25.07</v>
      </c>
      <c r="H128" s="147">
        <f t="shared" ref="H128:H131" si="9">F128*G128</f>
        <v>9.1004100000000001</v>
      </c>
    </row>
    <row r="129" spans="2:8" ht="25.5">
      <c r="B129" s="145" t="s">
        <v>1286</v>
      </c>
      <c r="C129" s="98" t="s">
        <v>1287</v>
      </c>
      <c r="D129" s="99" t="s">
        <v>12</v>
      </c>
      <c r="E129" s="99" t="s">
        <v>1129</v>
      </c>
      <c r="F129" s="94" t="s">
        <v>1349</v>
      </c>
      <c r="G129" s="95">
        <v>18.649999999999999</v>
      </c>
      <c r="H129" s="147">
        <f t="shared" si="9"/>
        <v>10.1456</v>
      </c>
    </row>
    <row r="130" spans="2:8" ht="51">
      <c r="B130" s="145" t="s">
        <v>1350</v>
      </c>
      <c r="C130" s="98" t="s">
        <v>1351</v>
      </c>
      <c r="D130" s="99" t="s">
        <v>12</v>
      </c>
      <c r="E130" s="99" t="s">
        <v>1292</v>
      </c>
      <c r="F130" s="94" t="s">
        <v>1352</v>
      </c>
      <c r="G130" s="95">
        <v>1.17</v>
      </c>
      <c r="H130" s="147">
        <f t="shared" si="9"/>
        <v>0.10295999999999998</v>
      </c>
    </row>
    <row r="131" spans="2:8" ht="51">
      <c r="B131" s="145" t="s">
        <v>1353</v>
      </c>
      <c r="C131" s="98" t="s">
        <v>1354</v>
      </c>
      <c r="D131" s="99" t="s">
        <v>12</v>
      </c>
      <c r="E131" s="99" t="s">
        <v>1293</v>
      </c>
      <c r="F131" s="94" t="s">
        <v>1355</v>
      </c>
      <c r="G131" s="95">
        <v>0.44</v>
      </c>
      <c r="H131" s="147">
        <f t="shared" si="9"/>
        <v>4.0919999999999998E-2</v>
      </c>
    </row>
    <row r="132" spans="2:8">
      <c r="B132" s="630" t="s">
        <v>1232</v>
      </c>
      <c r="C132" s="631"/>
      <c r="D132" s="631"/>
      <c r="E132" s="631"/>
      <c r="F132" s="631"/>
      <c r="G132" s="632"/>
      <c r="H132" s="148">
        <f>SUM(H127:H131)</f>
        <v>442.09539000000001</v>
      </c>
    </row>
    <row r="133" spans="2:8">
      <c r="B133" s="645"/>
      <c r="C133" s="646"/>
      <c r="D133" s="646"/>
      <c r="E133" s="646"/>
      <c r="F133" s="646"/>
      <c r="G133" s="646"/>
      <c r="H133" s="647"/>
    </row>
    <row r="134" spans="2:8" ht="89.25">
      <c r="B134" s="139" t="s">
        <v>1962</v>
      </c>
      <c r="C134" s="140" t="s">
        <v>235</v>
      </c>
      <c r="D134" s="141" t="s">
        <v>12</v>
      </c>
      <c r="E134" s="141" t="s">
        <v>75</v>
      </c>
      <c r="F134" s="142"/>
      <c r="G134" s="143"/>
      <c r="H134" s="144"/>
    </row>
    <row r="135" spans="2:8" ht="63.75">
      <c r="B135" s="145">
        <v>1527</v>
      </c>
      <c r="C135" s="98" t="s">
        <v>1347</v>
      </c>
      <c r="D135" s="99" t="s">
        <v>401</v>
      </c>
      <c r="E135" s="99" t="s">
        <v>75</v>
      </c>
      <c r="F135" s="94">
        <v>1.103</v>
      </c>
      <c r="G135" s="95">
        <v>367.57</v>
      </c>
      <c r="H135" s="147">
        <f>F135*G135</f>
        <v>405.42971</v>
      </c>
    </row>
    <row r="136" spans="2:8" ht="25.5">
      <c r="B136" s="145" t="s">
        <v>1237</v>
      </c>
      <c r="C136" s="98" t="s">
        <v>1238</v>
      </c>
      <c r="D136" s="99" t="s">
        <v>12</v>
      </c>
      <c r="E136" s="99" t="s">
        <v>1129</v>
      </c>
      <c r="F136" s="94" t="s">
        <v>1358</v>
      </c>
      <c r="G136" s="95">
        <v>24.81</v>
      </c>
      <c r="H136" s="147">
        <f t="shared" ref="H136:H140" si="10">F136*G136</f>
        <v>2.1088499999999999</v>
      </c>
    </row>
    <row r="137" spans="2:8" ht="25.5">
      <c r="B137" s="145" t="s">
        <v>1338</v>
      </c>
      <c r="C137" s="98" t="s">
        <v>1339</v>
      </c>
      <c r="D137" s="99" t="s">
        <v>12</v>
      </c>
      <c r="E137" s="99" t="s">
        <v>1129</v>
      </c>
      <c r="F137" s="94" t="s">
        <v>1360</v>
      </c>
      <c r="G137" s="95">
        <v>25.07</v>
      </c>
      <c r="H137" s="147">
        <f t="shared" si="10"/>
        <v>12.835840000000001</v>
      </c>
    </row>
    <row r="138" spans="2:8" ht="25.5">
      <c r="B138" s="145" t="s">
        <v>1286</v>
      </c>
      <c r="C138" s="98" t="s">
        <v>1287</v>
      </c>
      <c r="D138" s="99" t="s">
        <v>12</v>
      </c>
      <c r="E138" s="99" t="s">
        <v>1129</v>
      </c>
      <c r="F138" s="94" t="s">
        <v>1361</v>
      </c>
      <c r="G138" s="95">
        <v>18.649999999999999</v>
      </c>
      <c r="H138" s="147">
        <f t="shared" si="10"/>
        <v>10.928899999999999</v>
      </c>
    </row>
    <row r="139" spans="2:8" ht="51">
      <c r="B139" s="145" t="s">
        <v>1350</v>
      </c>
      <c r="C139" s="98" t="s">
        <v>1351</v>
      </c>
      <c r="D139" s="99" t="s">
        <v>12</v>
      </c>
      <c r="E139" s="99" t="s">
        <v>1292</v>
      </c>
      <c r="F139" s="94" t="s">
        <v>1336</v>
      </c>
      <c r="G139" s="95">
        <v>1.17</v>
      </c>
      <c r="H139" s="147">
        <f t="shared" si="10"/>
        <v>5.1479999999999991E-2</v>
      </c>
    </row>
    <row r="140" spans="2:8" ht="51">
      <c r="B140" s="145" t="s">
        <v>1353</v>
      </c>
      <c r="C140" s="98" t="s">
        <v>1354</v>
      </c>
      <c r="D140" s="99" t="s">
        <v>12</v>
      </c>
      <c r="E140" s="99" t="s">
        <v>1293</v>
      </c>
      <c r="F140" s="94" t="s">
        <v>1362</v>
      </c>
      <c r="G140" s="95">
        <v>0.44</v>
      </c>
      <c r="H140" s="147">
        <f t="shared" si="10"/>
        <v>5.5879999999999999E-2</v>
      </c>
    </row>
    <row r="141" spans="2:8">
      <c r="B141" s="630" t="s">
        <v>1232</v>
      </c>
      <c r="C141" s="631"/>
      <c r="D141" s="631"/>
      <c r="E141" s="631"/>
      <c r="F141" s="631"/>
      <c r="G141" s="632"/>
      <c r="H141" s="148">
        <f>SUM(H135:H140)</f>
        <v>431.41066000000006</v>
      </c>
    </row>
    <row r="142" spans="2:8">
      <c r="B142" s="648"/>
      <c r="C142" s="649"/>
      <c r="D142" s="649"/>
      <c r="E142" s="649"/>
      <c r="F142" s="649"/>
      <c r="G142" s="649"/>
      <c r="H142" s="650"/>
    </row>
    <row r="143" spans="2:8" ht="51">
      <c r="B143" s="139" t="s">
        <v>1963</v>
      </c>
      <c r="C143" s="140" t="s">
        <v>254</v>
      </c>
      <c r="D143" s="141" t="s">
        <v>12</v>
      </c>
      <c r="E143" s="141" t="s">
        <v>24</v>
      </c>
      <c r="F143" s="142"/>
      <c r="G143" s="143"/>
      <c r="H143" s="144"/>
    </row>
    <row r="144" spans="2:8">
      <c r="B144" s="145">
        <v>88278</v>
      </c>
      <c r="C144" s="98" t="s">
        <v>1363</v>
      </c>
      <c r="D144" s="99" t="s">
        <v>1229</v>
      </c>
      <c r="E144" s="99" t="s">
        <v>1129</v>
      </c>
      <c r="F144" s="94" t="s">
        <v>1364</v>
      </c>
      <c r="G144" s="95">
        <v>19.100000000000001</v>
      </c>
      <c r="H144" s="147">
        <f>F144*G144</f>
        <v>3.8200000000000003</v>
      </c>
    </row>
    <row r="145" spans="2:9">
      <c r="B145" s="145">
        <v>88309</v>
      </c>
      <c r="C145" s="98" t="s">
        <v>1246</v>
      </c>
      <c r="D145" s="99" t="s">
        <v>1229</v>
      </c>
      <c r="E145" s="99" t="s">
        <v>1129</v>
      </c>
      <c r="F145" s="94" t="s">
        <v>1365</v>
      </c>
      <c r="G145" s="95">
        <v>25.07</v>
      </c>
      <c r="H145" s="147">
        <f t="shared" ref="H145:H149" si="11">F145*G145</f>
        <v>22.563000000000002</v>
      </c>
    </row>
    <row r="146" spans="2:9">
      <c r="B146" s="145">
        <v>88316</v>
      </c>
      <c r="C146" s="98" t="s">
        <v>1247</v>
      </c>
      <c r="D146" s="99" t="s">
        <v>1229</v>
      </c>
      <c r="E146" s="99" t="s">
        <v>1129</v>
      </c>
      <c r="F146" s="94" t="s">
        <v>1366</v>
      </c>
      <c r="G146" s="95">
        <v>18.649999999999999</v>
      </c>
      <c r="H146" s="147">
        <f t="shared" si="11"/>
        <v>16.411999999999999</v>
      </c>
    </row>
    <row r="147" spans="2:9" ht="25.5">
      <c r="B147" s="145">
        <v>34493</v>
      </c>
      <c r="C147" s="98" t="s">
        <v>1964</v>
      </c>
      <c r="D147" s="99" t="s">
        <v>401</v>
      </c>
      <c r="E147" s="99" t="s">
        <v>75</v>
      </c>
      <c r="F147" s="94" t="s">
        <v>1368</v>
      </c>
      <c r="G147" s="95">
        <v>339.3</v>
      </c>
      <c r="H147" s="147">
        <f t="shared" si="11"/>
        <v>55.305900000000001</v>
      </c>
    </row>
    <row r="148" spans="2:9" ht="25.5">
      <c r="B148" s="145">
        <v>21141</v>
      </c>
      <c r="C148" s="98" t="s">
        <v>1965</v>
      </c>
      <c r="D148" s="99" t="s">
        <v>401</v>
      </c>
      <c r="E148" s="99" t="s">
        <v>112</v>
      </c>
      <c r="F148" s="94">
        <v>1.05</v>
      </c>
      <c r="G148" s="95">
        <v>19.350000000000001</v>
      </c>
      <c r="H148" s="147">
        <f t="shared" si="11"/>
        <v>20.317500000000003</v>
      </c>
    </row>
    <row r="149" spans="2:9" ht="25.5">
      <c r="B149" s="145" t="s">
        <v>1369</v>
      </c>
      <c r="C149" s="98" t="s">
        <v>1370</v>
      </c>
      <c r="D149" s="99" t="s">
        <v>401</v>
      </c>
      <c r="E149" s="99" t="s">
        <v>24</v>
      </c>
      <c r="F149" s="94">
        <v>1</v>
      </c>
      <c r="G149" s="95">
        <f>62.42*1.1325</f>
        <v>70.690650000000005</v>
      </c>
      <c r="H149" s="147">
        <f t="shared" si="11"/>
        <v>70.690650000000005</v>
      </c>
    </row>
    <row r="150" spans="2:9">
      <c r="B150" s="630" t="s">
        <v>1232</v>
      </c>
      <c r="C150" s="631"/>
      <c r="D150" s="631"/>
      <c r="E150" s="631"/>
      <c r="F150" s="631"/>
      <c r="G150" s="632"/>
      <c r="H150" s="148">
        <f>SUM(H144:H149)</f>
        <v>189.10905</v>
      </c>
      <c r="I150" s="388"/>
    </row>
    <row r="151" spans="2:9">
      <c r="B151" s="621"/>
      <c r="C151" s="622"/>
      <c r="D151" s="622"/>
      <c r="E151" s="622"/>
      <c r="F151" s="622"/>
      <c r="G151" s="622"/>
      <c r="H151" s="623"/>
    </row>
    <row r="152" spans="2:9" ht="51">
      <c r="B152" s="139" t="s">
        <v>1966</v>
      </c>
      <c r="C152" s="140" t="s">
        <v>1806</v>
      </c>
      <c r="D152" s="141" t="s">
        <v>12</v>
      </c>
      <c r="E152" s="141" t="s">
        <v>24</v>
      </c>
      <c r="F152" s="142"/>
      <c r="G152" s="143"/>
      <c r="H152" s="144"/>
    </row>
    <row r="153" spans="2:9">
      <c r="B153" s="145">
        <v>88278</v>
      </c>
      <c r="C153" s="98" t="s">
        <v>1363</v>
      </c>
      <c r="D153" s="99" t="s">
        <v>1229</v>
      </c>
      <c r="E153" s="99" t="s">
        <v>1129</v>
      </c>
      <c r="F153" s="94" t="s">
        <v>1364</v>
      </c>
      <c r="G153" s="95">
        <v>19.100000000000001</v>
      </c>
      <c r="H153" s="147">
        <f>F153*G153</f>
        <v>3.8200000000000003</v>
      </c>
    </row>
    <row r="154" spans="2:9">
      <c r="B154" s="145">
        <v>88309</v>
      </c>
      <c r="C154" s="98" t="s">
        <v>1246</v>
      </c>
      <c r="D154" s="99" t="s">
        <v>1229</v>
      </c>
      <c r="E154" s="99" t="s">
        <v>1129</v>
      </c>
      <c r="F154" s="94">
        <v>0.73</v>
      </c>
      <c r="G154" s="95">
        <v>25.07</v>
      </c>
      <c r="H154" s="147">
        <f t="shared" ref="H154:H158" si="12">F154*G154</f>
        <v>18.301099999999998</v>
      </c>
    </row>
    <row r="155" spans="2:9">
      <c r="B155" s="145">
        <v>88316</v>
      </c>
      <c r="C155" s="98" t="s">
        <v>1247</v>
      </c>
      <c r="D155" s="99" t="s">
        <v>1229</v>
      </c>
      <c r="E155" s="99" t="s">
        <v>1129</v>
      </c>
      <c r="F155" s="94" t="s">
        <v>1366</v>
      </c>
      <c r="G155" s="95">
        <v>18.649999999999999</v>
      </c>
      <c r="H155" s="147">
        <f t="shared" si="12"/>
        <v>16.411999999999999</v>
      </c>
    </row>
    <row r="156" spans="2:9">
      <c r="B156" s="145">
        <v>34493</v>
      </c>
      <c r="C156" s="98" t="s">
        <v>1367</v>
      </c>
      <c r="D156" s="99" t="s">
        <v>401</v>
      </c>
      <c r="E156" s="99" t="s">
        <v>75</v>
      </c>
      <c r="F156" s="94">
        <v>0.113</v>
      </c>
      <c r="G156" s="95">
        <v>339.3</v>
      </c>
      <c r="H156" s="147">
        <f t="shared" si="12"/>
        <v>38.340900000000005</v>
      </c>
    </row>
    <row r="157" spans="2:9" ht="25.5">
      <c r="B157" s="145">
        <v>21141</v>
      </c>
      <c r="C157" s="98" t="s">
        <v>1965</v>
      </c>
      <c r="D157" s="99" t="s">
        <v>401</v>
      </c>
      <c r="E157" s="99" t="s">
        <v>112</v>
      </c>
      <c r="F157" s="94">
        <v>1.05</v>
      </c>
      <c r="G157" s="95">
        <v>19.350000000000001</v>
      </c>
      <c r="H157" s="147">
        <f t="shared" si="12"/>
        <v>20.317500000000003</v>
      </c>
    </row>
    <row r="158" spans="2:9" ht="15" customHeight="1">
      <c r="B158" s="145" t="s">
        <v>1369</v>
      </c>
      <c r="C158" s="98" t="s">
        <v>1370</v>
      </c>
      <c r="D158" s="99" t="s">
        <v>401</v>
      </c>
      <c r="E158" s="99" t="s">
        <v>24</v>
      </c>
      <c r="F158" s="94">
        <v>1</v>
      </c>
      <c r="G158" s="95">
        <f>62.42*1.1325</f>
        <v>70.690650000000005</v>
      </c>
      <c r="H158" s="147">
        <f t="shared" si="12"/>
        <v>70.690650000000005</v>
      </c>
    </row>
    <row r="159" spans="2:9">
      <c r="B159" s="630" t="s">
        <v>1232</v>
      </c>
      <c r="C159" s="631"/>
      <c r="D159" s="631"/>
      <c r="E159" s="631"/>
      <c r="F159" s="631"/>
      <c r="G159" s="632"/>
      <c r="H159" s="148">
        <f>SUM(H153:H158)</f>
        <v>167.88215</v>
      </c>
    </row>
    <row r="160" spans="2:9">
      <c r="B160" s="621"/>
      <c r="C160" s="622"/>
      <c r="D160" s="622"/>
      <c r="E160" s="622"/>
      <c r="F160" s="622"/>
      <c r="G160" s="622"/>
      <c r="H160" s="623"/>
    </row>
    <row r="161" spans="2:8" ht="63.75">
      <c r="B161" s="139" t="s">
        <v>1967</v>
      </c>
      <c r="C161" s="140" t="s">
        <v>288</v>
      </c>
      <c r="D161" s="141" t="s">
        <v>12</v>
      </c>
      <c r="E161" s="141" t="s">
        <v>75</v>
      </c>
      <c r="F161" s="142"/>
      <c r="G161" s="143"/>
      <c r="H161" s="144"/>
    </row>
    <row r="162" spans="2:8" ht="63.75">
      <c r="B162" s="145">
        <v>34493</v>
      </c>
      <c r="C162" s="98" t="s">
        <v>1374</v>
      </c>
      <c r="D162" s="99" t="s">
        <v>401</v>
      </c>
      <c r="E162" s="99" t="s">
        <v>75</v>
      </c>
      <c r="F162" s="94">
        <v>1.103</v>
      </c>
      <c r="G162" s="95">
        <v>339.3</v>
      </c>
      <c r="H162" s="147">
        <f>F162*G162</f>
        <v>374.24790000000002</v>
      </c>
    </row>
    <row r="163" spans="2:8" ht="25.5">
      <c r="B163" s="145" t="s">
        <v>1338</v>
      </c>
      <c r="C163" s="98" t="s">
        <v>1339</v>
      </c>
      <c r="D163" s="99" t="s">
        <v>12</v>
      </c>
      <c r="E163" s="99" t="s">
        <v>1129</v>
      </c>
      <c r="F163" s="94">
        <v>1.0844</v>
      </c>
      <c r="G163" s="95">
        <v>25.07</v>
      </c>
      <c r="H163" s="147">
        <f t="shared" ref="H163:H165" si="13">F163*G163</f>
        <v>27.185908000000001</v>
      </c>
    </row>
    <row r="164" spans="2:8" ht="51">
      <c r="B164" s="145" t="s">
        <v>1350</v>
      </c>
      <c r="C164" s="98" t="s">
        <v>1351</v>
      </c>
      <c r="D164" s="99" t="s">
        <v>12</v>
      </c>
      <c r="E164" s="99" t="s">
        <v>1292</v>
      </c>
      <c r="F164" s="94" t="s">
        <v>1372</v>
      </c>
      <c r="G164" s="95">
        <v>1.17</v>
      </c>
      <c r="H164" s="147">
        <f t="shared" si="13"/>
        <v>0.14273999999999998</v>
      </c>
    </row>
    <row r="165" spans="2:8" ht="51">
      <c r="B165" s="145" t="s">
        <v>1353</v>
      </c>
      <c r="C165" s="98" t="s">
        <v>1354</v>
      </c>
      <c r="D165" s="99" t="s">
        <v>12</v>
      </c>
      <c r="E165" s="99" t="s">
        <v>1293</v>
      </c>
      <c r="F165" s="94" t="s">
        <v>1373</v>
      </c>
      <c r="G165" s="95">
        <v>0.44</v>
      </c>
      <c r="H165" s="147">
        <f t="shared" si="13"/>
        <v>6.560400000000001E-2</v>
      </c>
    </row>
    <row r="166" spans="2:8">
      <c r="B166" s="630" t="s">
        <v>1232</v>
      </c>
      <c r="C166" s="631"/>
      <c r="D166" s="631"/>
      <c r="E166" s="631"/>
      <c r="F166" s="631"/>
      <c r="G166" s="632"/>
      <c r="H166" s="148">
        <f>SUM(H162:H165)</f>
        <v>401.64215200000001</v>
      </c>
    </row>
    <row r="167" spans="2:8">
      <c r="B167" s="621"/>
      <c r="C167" s="622"/>
      <c r="D167" s="622"/>
      <c r="E167" s="622"/>
      <c r="F167" s="622"/>
      <c r="G167" s="622"/>
      <c r="H167" s="623"/>
    </row>
    <row r="168" spans="2:8" ht="25.5">
      <c r="B168" s="139" t="s">
        <v>1968</v>
      </c>
      <c r="C168" s="140" t="s">
        <v>320</v>
      </c>
      <c r="D168" s="141" t="s">
        <v>12</v>
      </c>
      <c r="E168" s="141" t="s">
        <v>24</v>
      </c>
      <c r="F168" s="142"/>
      <c r="G168" s="143"/>
      <c r="H168" s="144"/>
    </row>
    <row r="169" spans="2:8" ht="51">
      <c r="B169" s="145">
        <v>11615</v>
      </c>
      <c r="C169" s="98" t="s">
        <v>1382</v>
      </c>
      <c r="D169" s="99" t="s">
        <v>401</v>
      </c>
      <c r="E169" s="99" t="s">
        <v>24</v>
      </c>
      <c r="F169" s="94">
        <v>1.05</v>
      </c>
      <c r="G169" s="95">
        <v>3.21</v>
      </c>
      <c r="H169" s="147">
        <f>F169*G169</f>
        <v>3.3705000000000003</v>
      </c>
    </row>
    <row r="170" spans="2:8">
      <c r="B170" s="145">
        <v>44396</v>
      </c>
      <c r="C170" s="98" t="s">
        <v>1383</v>
      </c>
      <c r="D170" s="99" t="s">
        <v>401</v>
      </c>
      <c r="E170" s="99" t="s">
        <v>112</v>
      </c>
      <c r="F170" s="94">
        <v>0.32419999999999999</v>
      </c>
      <c r="G170" s="95">
        <v>39.130000000000003</v>
      </c>
      <c r="H170" s="147">
        <f t="shared" ref="H170:H173" si="14">F170*G170</f>
        <v>12.685946</v>
      </c>
    </row>
    <row r="171" spans="2:8" ht="25.5">
      <c r="B171" s="145">
        <v>3767</v>
      </c>
      <c r="C171" s="98" t="s">
        <v>1384</v>
      </c>
      <c r="D171" s="99" t="s">
        <v>401</v>
      </c>
      <c r="E171" s="99" t="s">
        <v>37</v>
      </c>
      <c r="F171" s="94" t="s">
        <v>1279</v>
      </c>
      <c r="G171" s="95">
        <v>1.29</v>
      </c>
      <c r="H171" s="147">
        <f t="shared" si="14"/>
        <v>0.129</v>
      </c>
    </row>
    <row r="172" spans="2:8" ht="25.5">
      <c r="B172" s="145" t="s">
        <v>1385</v>
      </c>
      <c r="C172" s="98" t="s">
        <v>1386</v>
      </c>
      <c r="D172" s="99" t="s">
        <v>12</v>
      </c>
      <c r="E172" s="99" t="s">
        <v>1129</v>
      </c>
      <c r="F172" s="94" t="s">
        <v>1387</v>
      </c>
      <c r="G172" s="95">
        <v>26.13</v>
      </c>
      <c r="H172" s="147">
        <f t="shared" si="14"/>
        <v>1.4711190000000001</v>
      </c>
    </row>
    <row r="173" spans="2:8" ht="25.5">
      <c r="B173" s="145" t="s">
        <v>1286</v>
      </c>
      <c r="C173" s="98" t="s">
        <v>1287</v>
      </c>
      <c r="D173" s="99" t="s">
        <v>12</v>
      </c>
      <c r="E173" s="99" t="s">
        <v>1129</v>
      </c>
      <c r="F173" s="94" t="s">
        <v>1388</v>
      </c>
      <c r="G173" s="95">
        <v>18.649999999999999</v>
      </c>
      <c r="H173" s="147">
        <f t="shared" si="14"/>
        <v>1.04067</v>
      </c>
    </row>
    <row r="174" spans="2:8">
      <c r="B174" s="630" t="s">
        <v>1232</v>
      </c>
      <c r="C174" s="631"/>
      <c r="D174" s="631"/>
      <c r="E174" s="631"/>
      <c r="F174" s="631"/>
      <c r="G174" s="632"/>
      <c r="H174" s="148">
        <f>SUM(H169:H173)</f>
        <v>18.697235000000003</v>
      </c>
    </row>
    <row r="175" spans="2:8">
      <c r="B175" s="621"/>
      <c r="C175" s="622"/>
      <c r="D175" s="622"/>
      <c r="E175" s="622"/>
      <c r="F175" s="622"/>
      <c r="G175" s="622"/>
      <c r="H175" s="623"/>
    </row>
    <row r="176" spans="2:8" ht="25.5">
      <c r="B176" s="139" t="s">
        <v>1969</v>
      </c>
      <c r="C176" s="140" t="s">
        <v>322</v>
      </c>
      <c r="D176" s="141" t="s">
        <v>12</v>
      </c>
      <c r="E176" s="141" t="s">
        <v>15</v>
      </c>
      <c r="F176" s="142"/>
      <c r="G176" s="143"/>
      <c r="H176" s="144"/>
    </row>
    <row r="177" spans="2:8" ht="38.25">
      <c r="B177" s="145">
        <v>3681</v>
      </c>
      <c r="C177" s="98" t="s">
        <v>1389</v>
      </c>
      <c r="D177" s="99" t="s">
        <v>401</v>
      </c>
      <c r="E177" s="99" t="s">
        <v>15</v>
      </c>
      <c r="F177" s="94">
        <v>1.05</v>
      </c>
      <c r="G177" s="95">
        <v>124.79</v>
      </c>
      <c r="H177" s="147">
        <f>F177*G177</f>
        <v>131.02950000000001</v>
      </c>
    </row>
    <row r="178" spans="2:8" ht="25.5">
      <c r="B178" s="145" t="s">
        <v>1333</v>
      </c>
      <c r="C178" s="98" t="s">
        <v>1334</v>
      </c>
      <c r="D178" s="99" t="s">
        <v>12</v>
      </c>
      <c r="E178" s="99" t="s">
        <v>1129</v>
      </c>
      <c r="F178" s="94" t="s">
        <v>1390</v>
      </c>
      <c r="G178" s="95">
        <v>24.93</v>
      </c>
      <c r="H178" s="147">
        <f t="shared" ref="H178:H179" si="15">F178*G178</f>
        <v>2.9916</v>
      </c>
    </row>
    <row r="179" spans="2:8" ht="25.5">
      <c r="B179" s="145" t="s">
        <v>1286</v>
      </c>
      <c r="C179" s="98" t="s">
        <v>1287</v>
      </c>
      <c r="D179" s="99" t="s">
        <v>12</v>
      </c>
      <c r="E179" s="99" t="s">
        <v>1129</v>
      </c>
      <c r="F179" s="94" t="s">
        <v>1390</v>
      </c>
      <c r="G179" s="95">
        <v>18.649999999999999</v>
      </c>
      <c r="H179" s="147">
        <f t="shared" si="15"/>
        <v>2.2379999999999995</v>
      </c>
    </row>
    <row r="180" spans="2:8">
      <c r="B180" s="630" t="s">
        <v>1232</v>
      </c>
      <c r="C180" s="631"/>
      <c r="D180" s="631"/>
      <c r="E180" s="631"/>
      <c r="F180" s="631"/>
      <c r="G180" s="632"/>
      <c r="H180" s="148">
        <f>SUM(H177:H179)</f>
        <v>136.25910000000002</v>
      </c>
    </row>
    <row r="181" spans="2:8">
      <c r="B181" s="621"/>
      <c r="C181" s="622"/>
      <c r="D181" s="622"/>
      <c r="E181" s="622"/>
      <c r="F181" s="622"/>
      <c r="G181" s="622"/>
      <c r="H181" s="623"/>
    </row>
    <row r="182" spans="2:8" ht="25.5">
      <c r="B182" s="139" t="s">
        <v>1970</v>
      </c>
      <c r="C182" s="140" t="s">
        <v>1971</v>
      </c>
      <c r="D182" s="141" t="s">
        <v>12</v>
      </c>
      <c r="E182" s="141" t="s">
        <v>112</v>
      </c>
      <c r="F182" s="142"/>
      <c r="G182" s="143"/>
      <c r="H182" s="144"/>
    </row>
    <row r="183" spans="2:8" ht="25.5">
      <c r="B183" s="145">
        <v>4766</v>
      </c>
      <c r="C183" s="98" t="s">
        <v>1808</v>
      </c>
      <c r="D183" s="99" t="s">
        <v>401</v>
      </c>
      <c r="E183" s="99" t="s">
        <v>112</v>
      </c>
      <c r="F183" s="94">
        <v>1.05</v>
      </c>
      <c r="G183" s="95">
        <v>10.44</v>
      </c>
      <c r="H183" s="147">
        <f>F183*G183</f>
        <v>10.962</v>
      </c>
    </row>
    <row r="184" spans="2:8" ht="25.5">
      <c r="B184" s="145" t="s">
        <v>1391</v>
      </c>
      <c r="C184" s="98" t="s">
        <v>1392</v>
      </c>
      <c r="D184" s="99" t="s">
        <v>12</v>
      </c>
      <c r="E184" s="99" t="s">
        <v>1129</v>
      </c>
      <c r="F184" s="94">
        <v>0.06</v>
      </c>
      <c r="G184" s="95">
        <v>24.93</v>
      </c>
      <c r="H184" s="147">
        <f t="shared" ref="H184:H186" si="16">F184*G184</f>
        <v>1.4958</v>
      </c>
    </row>
    <row r="185" spans="2:8" ht="25.5">
      <c r="B185" s="145" t="s">
        <v>1286</v>
      </c>
      <c r="C185" s="98" t="s">
        <v>1287</v>
      </c>
      <c r="D185" s="99" t="s">
        <v>12</v>
      </c>
      <c r="E185" s="99" t="s">
        <v>1129</v>
      </c>
      <c r="F185" s="94">
        <v>0.06</v>
      </c>
      <c r="G185" s="95">
        <v>18.649999999999999</v>
      </c>
      <c r="H185" s="147">
        <f t="shared" si="16"/>
        <v>1.1189999999999998</v>
      </c>
    </row>
    <row r="186" spans="2:8" ht="51">
      <c r="B186" s="145" t="s">
        <v>1393</v>
      </c>
      <c r="C186" s="98" t="s">
        <v>1394</v>
      </c>
      <c r="D186" s="99" t="s">
        <v>12</v>
      </c>
      <c r="E186" s="99" t="s">
        <v>15</v>
      </c>
      <c r="F186" s="94" t="s">
        <v>1235</v>
      </c>
      <c r="G186" s="95">
        <v>58.66</v>
      </c>
      <c r="H186" s="147">
        <f t="shared" si="16"/>
        <v>0.35196</v>
      </c>
    </row>
    <row r="187" spans="2:8">
      <c r="B187" s="630" t="s">
        <v>1232</v>
      </c>
      <c r="C187" s="631"/>
      <c r="D187" s="631"/>
      <c r="E187" s="631"/>
      <c r="F187" s="631"/>
      <c r="G187" s="632"/>
      <c r="H187" s="148">
        <f>SUM(H183:H186)</f>
        <v>13.928759999999999</v>
      </c>
    </row>
    <row r="188" spans="2:8">
      <c r="B188" s="167"/>
      <c r="C188" s="168"/>
      <c r="D188" s="168"/>
      <c r="E188" s="168"/>
      <c r="F188" s="168"/>
      <c r="G188" s="168"/>
      <c r="H188" s="169"/>
    </row>
    <row r="189" spans="2:8" ht="38.25">
      <c r="B189" s="139" t="s">
        <v>1972</v>
      </c>
      <c r="C189" s="170" t="s">
        <v>1226</v>
      </c>
      <c r="D189" s="141" t="s">
        <v>12</v>
      </c>
      <c r="E189" s="141" t="s">
        <v>24</v>
      </c>
      <c r="F189" s="142"/>
      <c r="G189" s="143"/>
      <c r="H189" s="144"/>
    </row>
    <row r="190" spans="2:8">
      <c r="B190" s="145">
        <v>7307</v>
      </c>
      <c r="C190" s="98" t="s">
        <v>2823</v>
      </c>
      <c r="D190" s="99" t="s">
        <v>401</v>
      </c>
      <c r="E190" s="99" t="s">
        <v>1395</v>
      </c>
      <c r="F190" s="94">
        <v>6.7000000000000004E-2</v>
      </c>
      <c r="G190" s="95">
        <v>38.17</v>
      </c>
      <c r="H190" s="147">
        <f>F190*G190</f>
        <v>2.5573900000000003</v>
      </c>
    </row>
    <row r="191" spans="2:8">
      <c r="B191" s="145">
        <v>3768</v>
      </c>
      <c r="C191" s="98" t="s">
        <v>1396</v>
      </c>
      <c r="D191" s="99" t="s">
        <v>401</v>
      </c>
      <c r="E191" s="99" t="s">
        <v>37</v>
      </c>
      <c r="F191" s="94">
        <v>0.25</v>
      </c>
      <c r="G191" s="95">
        <v>3.87</v>
      </c>
      <c r="H191" s="147">
        <f t="shared" ref="H191:H194" si="17">F191*G191</f>
        <v>0.96750000000000003</v>
      </c>
    </row>
    <row r="192" spans="2:8" ht="25.5">
      <c r="B192" s="145">
        <v>5318</v>
      </c>
      <c r="C192" s="98" t="s">
        <v>1397</v>
      </c>
      <c r="D192" s="99" t="s">
        <v>401</v>
      </c>
      <c r="E192" s="99" t="s">
        <v>1294</v>
      </c>
      <c r="F192" s="94">
        <v>0.01</v>
      </c>
      <c r="G192" s="95">
        <v>15.31</v>
      </c>
      <c r="H192" s="147">
        <f t="shared" si="17"/>
        <v>0.15310000000000001</v>
      </c>
    </row>
    <row r="193" spans="2:8" ht="25.5">
      <c r="B193" s="145" t="s">
        <v>1385</v>
      </c>
      <c r="C193" s="98" t="s">
        <v>1386</v>
      </c>
      <c r="D193" s="99" t="s">
        <v>12</v>
      </c>
      <c r="E193" s="99" t="s">
        <v>1129</v>
      </c>
      <c r="F193" s="94">
        <v>0.08</v>
      </c>
      <c r="G193" s="95">
        <v>26.13</v>
      </c>
      <c r="H193" s="147">
        <f t="shared" si="17"/>
        <v>2.0903999999999998</v>
      </c>
    </row>
    <row r="194" spans="2:8" ht="25.5">
      <c r="B194" s="145" t="s">
        <v>1286</v>
      </c>
      <c r="C194" s="98" t="s">
        <v>1287</v>
      </c>
      <c r="D194" s="99" t="s">
        <v>12</v>
      </c>
      <c r="E194" s="99" t="s">
        <v>1129</v>
      </c>
      <c r="F194" s="94">
        <v>0.04</v>
      </c>
      <c r="G194" s="95">
        <v>18.649999999999999</v>
      </c>
      <c r="H194" s="147">
        <f t="shared" si="17"/>
        <v>0.746</v>
      </c>
    </row>
    <row r="195" spans="2:8">
      <c r="B195" s="630" t="s">
        <v>1232</v>
      </c>
      <c r="C195" s="631"/>
      <c r="D195" s="631"/>
      <c r="E195" s="631"/>
      <c r="F195" s="631"/>
      <c r="G195" s="632"/>
      <c r="H195" s="148">
        <f>SUM(H190:H194)</f>
        <v>6.5143900000000006</v>
      </c>
    </row>
    <row r="196" spans="2:8">
      <c r="B196" s="651"/>
      <c r="C196" s="652"/>
      <c r="D196" s="652"/>
      <c r="E196" s="652"/>
      <c r="F196" s="652"/>
      <c r="G196" s="652"/>
      <c r="H196" s="652"/>
    </row>
    <row r="197" spans="2:8" ht="76.5">
      <c r="B197" s="139" t="s">
        <v>1973</v>
      </c>
      <c r="C197" s="140" t="s">
        <v>345</v>
      </c>
      <c r="D197" s="141" t="s">
        <v>12</v>
      </c>
      <c r="E197" s="141" t="s">
        <v>24</v>
      </c>
      <c r="F197" s="142"/>
      <c r="G197" s="143"/>
      <c r="H197" s="144"/>
    </row>
    <row r="198" spans="2:8">
      <c r="B198" s="145">
        <v>88309</v>
      </c>
      <c r="C198" s="98" t="s">
        <v>1246</v>
      </c>
      <c r="D198" s="99" t="s">
        <v>1229</v>
      </c>
      <c r="E198" s="99" t="s">
        <v>1129</v>
      </c>
      <c r="F198" s="94">
        <v>2.6</v>
      </c>
      <c r="G198" s="95">
        <v>25.07</v>
      </c>
      <c r="H198" s="147">
        <f>F198*G198</f>
        <v>65.182000000000002</v>
      </c>
    </row>
    <row r="199" spans="2:8">
      <c r="B199" s="145">
        <v>88316</v>
      </c>
      <c r="C199" s="98" t="s">
        <v>1247</v>
      </c>
      <c r="D199" s="99" t="s">
        <v>1229</v>
      </c>
      <c r="E199" s="99" t="s">
        <v>1129</v>
      </c>
      <c r="F199" s="94">
        <v>2.6</v>
      </c>
      <c r="G199" s="95">
        <v>18.649999999999999</v>
      </c>
      <c r="H199" s="147">
        <f t="shared" ref="H199:H201" si="18">F199*G199</f>
        <v>48.489999999999995</v>
      </c>
    </row>
    <row r="200" spans="2:8" ht="25.5">
      <c r="B200" s="145">
        <v>34401</v>
      </c>
      <c r="C200" s="98" t="s">
        <v>1402</v>
      </c>
      <c r="D200" s="99" t="s">
        <v>401</v>
      </c>
      <c r="E200" s="99" t="s">
        <v>37</v>
      </c>
      <c r="F200" s="94">
        <v>65.900000000000006</v>
      </c>
      <c r="G200" s="95">
        <v>1.95</v>
      </c>
      <c r="H200" s="147">
        <f t="shared" si="18"/>
        <v>128.505</v>
      </c>
    </row>
    <row r="201" spans="2:8" ht="25.5">
      <c r="B201" s="145">
        <v>87286</v>
      </c>
      <c r="C201" s="98" t="s">
        <v>1974</v>
      </c>
      <c r="D201" s="99" t="s">
        <v>12</v>
      </c>
      <c r="E201" s="99" t="s">
        <v>75</v>
      </c>
      <c r="F201" s="94" t="s">
        <v>1236</v>
      </c>
      <c r="G201" s="95">
        <v>543.22</v>
      </c>
      <c r="H201" s="147">
        <f t="shared" si="18"/>
        <v>14.612618000000001</v>
      </c>
    </row>
    <row r="202" spans="2:8">
      <c r="B202" s="630" t="s">
        <v>1232</v>
      </c>
      <c r="C202" s="631"/>
      <c r="D202" s="631"/>
      <c r="E202" s="631"/>
      <c r="F202" s="631"/>
      <c r="G202" s="632"/>
      <c r="H202" s="171">
        <f>SUM(H198:H201)</f>
        <v>256.78961800000002</v>
      </c>
    </row>
    <row r="203" spans="2:8">
      <c r="B203" s="627"/>
      <c r="C203" s="628"/>
      <c r="D203" s="628"/>
      <c r="E203" s="628"/>
      <c r="F203" s="628"/>
      <c r="G203" s="628"/>
      <c r="H203" s="629"/>
    </row>
    <row r="204" spans="2:8" ht="63.75">
      <c r="B204" s="139" t="s">
        <v>1975</v>
      </c>
      <c r="C204" s="140" t="s">
        <v>347</v>
      </c>
      <c r="D204" s="141" t="s">
        <v>12</v>
      </c>
      <c r="E204" s="141" t="s">
        <v>24</v>
      </c>
      <c r="F204" s="142"/>
      <c r="G204" s="143"/>
      <c r="H204" s="144"/>
    </row>
    <row r="205" spans="2:8">
      <c r="B205" s="145">
        <v>88309</v>
      </c>
      <c r="C205" s="98" t="s">
        <v>1246</v>
      </c>
      <c r="D205" s="99" t="s">
        <v>1229</v>
      </c>
      <c r="E205" s="99" t="s">
        <v>1129</v>
      </c>
      <c r="F205" s="94">
        <v>5</v>
      </c>
      <c r="G205" s="95">
        <v>25.07</v>
      </c>
      <c r="H205" s="147">
        <f>F205*G205</f>
        <v>125.35</v>
      </c>
    </row>
    <row r="206" spans="2:8">
      <c r="B206" s="145">
        <v>88316</v>
      </c>
      <c r="C206" s="98" t="s">
        <v>1247</v>
      </c>
      <c r="D206" s="99" t="s">
        <v>1229</v>
      </c>
      <c r="E206" s="99" t="s">
        <v>1129</v>
      </c>
      <c r="F206" s="94">
        <v>7</v>
      </c>
      <c r="G206" s="95">
        <v>18.649999999999999</v>
      </c>
      <c r="H206" s="147">
        <f t="shared" ref="H206:H210" si="19">F206*G206</f>
        <v>130.54999999999998</v>
      </c>
    </row>
    <row r="207" spans="2:8" ht="25.5">
      <c r="B207" s="145">
        <v>34401</v>
      </c>
      <c r="C207" s="98" t="s">
        <v>1402</v>
      </c>
      <c r="D207" s="99" t="s">
        <v>401</v>
      </c>
      <c r="E207" s="99" t="s">
        <v>37</v>
      </c>
      <c r="F207" s="94">
        <v>45</v>
      </c>
      <c r="G207" s="95">
        <v>1.95</v>
      </c>
      <c r="H207" s="147">
        <f t="shared" si="19"/>
        <v>87.75</v>
      </c>
    </row>
    <row r="208" spans="2:8" ht="25.5">
      <c r="B208" s="145">
        <v>87286</v>
      </c>
      <c r="C208" s="98" t="s">
        <v>1974</v>
      </c>
      <c r="D208" s="99" t="s">
        <v>12</v>
      </c>
      <c r="E208" s="99" t="s">
        <v>75</v>
      </c>
      <c r="F208" s="94" t="s">
        <v>1371</v>
      </c>
      <c r="G208" s="95">
        <v>543.22</v>
      </c>
      <c r="H208" s="147">
        <f t="shared" si="19"/>
        <v>3.8025400000000005</v>
      </c>
    </row>
    <row r="209" spans="2:8">
      <c r="B209" s="145">
        <v>43055</v>
      </c>
      <c r="C209" s="98" t="s">
        <v>1403</v>
      </c>
      <c r="D209" s="99" t="s">
        <v>401</v>
      </c>
      <c r="E209" s="99" t="s">
        <v>112</v>
      </c>
      <c r="F209" s="94">
        <v>5</v>
      </c>
      <c r="G209" s="95">
        <v>9.92</v>
      </c>
      <c r="H209" s="147">
        <f t="shared" si="19"/>
        <v>49.6</v>
      </c>
    </row>
    <row r="210" spans="2:8" ht="25.5">
      <c r="B210" s="145" t="s">
        <v>1333</v>
      </c>
      <c r="C210" s="98" t="s">
        <v>1334</v>
      </c>
      <c r="D210" s="99" t="s">
        <v>12</v>
      </c>
      <c r="E210" s="99" t="s">
        <v>1129</v>
      </c>
      <c r="F210" s="94" t="s">
        <v>1280</v>
      </c>
      <c r="G210" s="95">
        <v>24.93</v>
      </c>
      <c r="H210" s="147">
        <f t="shared" si="19"/>
        <v>12.465</v>
      </c>
    </row>
    <row r="211" spans="2:8">
      <c r="B211" s="630" t="s">
        <v>1232</v>
      </c>
      <c r="C211" s="631"/>
      <c r="D211" s="631"/>
      <c r="E211" s="631"/>
      <c r="F211" s="631"/>
      <c r="G211" s="632"/>
      <c r="H211" s="148">
        <f>SUM(H205:H210)</f>
        <v>409.51754</v>
      </c>
    </row>
    <row r="212" spans="2:8">
      <c r="B212" s="621"/>
      <c r="C212" s="622"/>
      <c r="D212" s="622"/>
      <c r="E212" s="622"/>
      <c r="F212" s="622"/>
      <c r="G212" s="622"/>
      <c r="H212" s="623"/>
    </row>
    <row r="213" spans="2:8" ht="63.75">
      <c r="B213" s="139" t="s">
        <v>1976</v>
      </c>
      <c r="C213" s="140" t="s">
        <v>348</v>
      </c>
      <c r="D213" s="141" t="s">
        <v>12</v>
      </c>
      <c r="E213" s="141" t="s">
        <v>24</v>
      </c>
      <c r="F213" s="142"/>
      <c r="G213" s="143"/>
      <c r="H213" s="144"/>
    </row>
    <row r="214" spans="2:8">
      <c r="B214" s="145">
        <v>88309</v>
      </c>
      <c r="C214" s="98" t="s">
        <v>1246</v>
      </c>
      <c r="D214" s="99" t="s">
        <v>1229</v>
      </c>
      <c r="E214" s="99" t="s">
        <v>1129</v>
      </c>
      <c r="F214" s="94">
        <v>7</v>
      </c>
      <c r="G214" s="95">
        <v>25.07</v>
      </c>
      <c r="H214" s="147">
        <f>F214*G214</f>
        <v>175.49</v>
      </c>
    </row>
    <row r="215" spans="2:8">
      <c r="B215" s="145">
        <v>88316</v>
      </c>
      <c r="C215" s="98" t="s">
        <v>1247</v>
      </c>
      <c r="D215" s="99" t="s">
        <v>1229</v>
      </c>
      <c r="E215" s="99" t="s">
        <v>1129</v>
      </c>
      <c r="F215" s="94">
        <v>9</v>
      </c>
      <c r="G215" s="95">
        <v>18.649999999999999</v>
      </c>
      <c r="H215" s="147">
        <f t="shared" ref="H215:H219" si="20">F215*G215</f>
        <v>167.85</v>
      </c>
    </row>
    <row r="216" spans="2:8" ht="25.5">
      <c r="B216" s="145">
        <v>34401</v>
      </c>
      <c r="C216" s="98" t="s">
        <v>1402</v>
      </c>
      <c r="D216" s="99" t="s">
        <v>401</v>
      </c>
      <c r="E216" s="99" t="s">
        <v>37</v>
      </c>
      <c r="F216" s="94">
        <v>5.73</v>
      </c>
      <c r="G216" s="95">
        <v>1.95</v>
      </c>
      <c r="H216" s="147">
        <f t="shared" si="20"/>
        <v>11.173500000000001</v>
      </c>
    </row>
    <row r="217" spans="2:8" ht="25.5">
      <c r="B217" s="145">
        <v>87286</v>
      </c>
      <c r="C217" s="98" t="s">
        <v>1974</v>
      </c>
      <c r="D217" s="99" t="s">
        <v>12</v>
      </c>
      <c r="E217" s="99" t="s">
        <v>75</v>
      </c>
      <c r="F217" s="94" t="s">
        <v>1344</v>
      </c>
      <c r="G217" s="95">
        <v>543.22</v>
      </c>
      <c r="H217" s="147">
        <f t="shared" si="20"/>
        <v>12.494060000000001</v>
      </c>
    </row>
    <row r="218" spans="2:8">
      <c r="B218" s="145">
        <v>43055</v>
      </c>
      <c r="C218" s="98" t="s">
        <v>1403</v>
      </c>
      <c r="D218" s="99" t="s">
        <v>401</v>
      </c>
      <c r="E218" s="99" t="s">
        <v>112</v>
      </c>
      <c r="F218" s="94">
        <v>11</v>
      </c>
      <c r="G218" s="95">
        <v>9.92</v>
      </c>
      <c r="H218" s="147">
        <f t="shared" si="20"/>
        <v>109.12</v>
      </c>
    </row>
    <row r="219" spans="2:8" ht="25.5">
      <c r="B219" s="145" t="s">
        <v>1333</v>
      </c>
      <c r="C219" s="98" t="s">
        <v>1334</v>
      </c>
      <c r="D219" s="99" t="s">
        <v>12</v>
      </c>
      <c r="E219" s="99" t="s">
        <v>1129</v>
      </c>
      <c r="F219" s="94">
        <v>1</v>
      </c>
      <c r="G219" s="95">
        <v>24.93</v>
      </c>
      <c r="H219" s="147">
        <f t="shared" si="20"/>
        <v>24.93</v>
      </c>
    </row>
    <row r="220" spans="2:8">
      <c r="B220" s="630" t="s">
        <v>1232</v>
      </c>
      <c r="C220" s="631"/>
      <c r="D220" s="631"/>
      <c r="E220" s="631"/>
      <c r="F220" s="631"/>
      <c r="G220" s="632"/>
      <c r="H220" s="148">
        <f>SUM(H214:H219)</f>
        <v>501.05756000000002</v>
      </c>
    </row>
    <row r="221" spans="2:8">
      <c r="B221" s="621"/>
      <c r="C221" s="622"/>
      <c r="D221" s="622"/>
      <c r="E221" s="622"/>
      <c r="F221" s="622"/>
      <c r="G221" s="622"/>
      <c r="H221" s="623"/>
    </row>
    <row r="222" spans="2:8" ht="63.75">
      <c r="B222" s="139" t="s">
        <v>1977</v>
      </c>
      <c r="C222" s="140" t="s">
        <v>1809</v>
      </c>
      <c r="D222" s="141" t="s">
        <v>12</v>
      </c>
      <c r="E222" s="141" t="s">
        <v>24</v>
      </c>
      <c r="F222" s="142"/>
      <c r="G222" s="143"/>
      <c r="H222" s="144"/>
    </row>
    <row r="223" spans="2:8" ht="51">
      <c r="B223" s="145">
        <v>11795</v>
      </c>
      <c r="C223" s="98" t="s">
        <v>1404</v>
      </c>
      <c r="D223" s="99" t="s">
        <v>401</v>
      </c>
      <c r="E223" s="99" t="s">
        <v>24</v>
      </c>
      <c r="F223" s="94">
        <v>1</v>
      </c>
      <c r="G223" s="95">
        <v>573.58000000000004</v>
      </c>
      <c r="H223" s="147">
        <f>F223*G223</f>
        <v>573.58000000000004</v>
      </c>
    </row>
    <row r="224" spans="2:8">
      <c r="B224" s="145">
        <v>1380</v>
      </c>
      <c r="C224" s="98" t="s">
        <v>1405</v>
      </c>
      <c r="D224" s="99" t="s">
        <v>401</v>
      </c>
      <c r="E224" s="99" t="s">
        <v>112</v>
      </c>
      <c r="F224" s="94" t="s">
        <v>1406</v>
      </c>
      <c r="G224" s="95">
        <v>1.95</v>
      </c>
      <c r="H224" s="147">
        <f t="shared" ref="H224:H227" si="21">F224*G224</f>
        <v>1.365</v>
      </c>
    </row>
    <row r="225" spans="2:8" ht="25.5">
      <c r="B225" s="145" t="s">
        <v>1407</v>
      </c>
      <c r="C225" s="98" t="s">
        <v>1408</v>
      </c>
      <c r="D225" s="99" t="s">
        <v>12</v>
      </c>
      <c r="E225" s="99" t="s">
        <v>1129</v>
      </c>
      <c r="F225" s="94">
        <v>4.8</v>
      </c>
      <c r="G225" s="95">
        <v>20.98</v>
      </c>
      <c r="H225" s="147">
        <f t="shared" si="21"/>
        <v>100.70399999999999</v>
      </c>
    </row>
    <row r="226" spans="2:8" ht="25.5">
      <c r="B226" s="145" t="s">
        <v>1286</v>
      </c>
      <c r="C226" s="98" t="s">
        <v>1287</v>
      </c>
      <c r="D226" s="99" t="s">
        <v>12</v>
      </c>
      <c r="E226" s="99" t="s">
        <v>1129</v>
      </c>
      <c r="F226" s="94">
        <v>2.2999999999999998</v>
      </c>
      <c r="G226" s="95">
        <v>18.649999999999999</v>
      </c>
      <c r="H226" s="147">
        <f t="shared" si="21"/>
        <v>42.894999999999996</v>
      </c>
    </row>
    <row r="227" spans="2:8" ht="38.25">
      <c r="B227" s="145" t="s">
        <v>1409</v>
      </c>
      <c r="C227" s="98" t="s">
        <v>1410</v>
      </c>
      <c r="D227" s="99" t="s">
        <v>12</v>
      </c>
      <c r="E227" s="99" t="s">
        <v>75</v>
      </c>
      <c r="F227" s="94" t="s">
        <v>1411</v>
      </c>
      <c r="G227" s="95">
        <v>558.26</v>
      </c>
      <c r="H227" s="147">
        <f t="shared" si="21"/>
        <v>1.842258</v>
      </c>
    </row>
    <row r="228" spans="2:8">
      <c r="B228" s="630" t="s">
        <v>1232</v>
      </c>
      <c r="C228" s="631"/>
      <c r="D228" s="631"/>
      <c r="E228" s="631"/>
      <c r="F228" s="631"/>
      <c r="G228" s="632"/>
      <c r="H228" s="148">
        <f>SUM(H223:H227)</f>
        <v>720.386258</v>
      </c>
    </row>
    <row r="229" spans="2:8">
      <c r="B229" s="621"/>
      <c r="C229" s="622"/>
      <c r="D229" s="622"/>
      <c r="E229" s="622"/>
      <c r="F229" s="622"/>
      <c r="G229" s="622"/>
      <c r="H229" s="623"/>
    </row>
    <row r="230" spans="2:8" ht="38.25">
      <c r="B230" s="154" t="s">
        <v>1978</v>
      </c>
      <c r="C230" s="155" t="s">
        <v>1979</v>
      </c>
      <c r="D230" s="156" t="s">
        <v>12</v>
      </c>
      <c r="E230" s="156" t="s">
        <v>24</v>
      </c>
      <c r="F230" s="157"/>
      <c r="G230" s="158"/>
      <c r="H230" s="159"/>
    </row>
    <row r="231" spans="2:8" ht="38.25">
      <c r="B231" s="160" t="s">
        <v>1412</v>
      </c>
      <c r="C231" s="161" t="s">
        <v>1413</v>
      </c>
      <c r="D231" s="162" t="s">
        <v>12</v>
      </c>
      <c r="E231" s="162" t="s">
        <v>37</v>
      </c>
      <c r="F231" s="163" t="s">
        <v>1414</v>
      </c>
      <c r="G231" s="164">
        <f>1170.51*1.2217</f>
        <v>1430.0120669999999</v>
      </c>
      <c r="H231" s="165">
        <f>F231*G231</f>
        <v>443.30374076999999</v>
      </c>
    </row>
    <row r="232" spans="2:8">
      <c r="B232" s="624" t="s">
        <v>1232</v>
      </c>
      <c r="C232" s="625"/>
      <c r="D232" s="625"/>
      <c r="E232" s="625"/>
      <c r="F232" s="625"/>
      <c r="G232" s="626"/>
      <c r="H232" s="166">
        <f>SUM(H231)</f>
        <v>443.30374076999999</v>
      </c>
    </row>
    <row r="233" spans="2:8">
      <c r="B233" s="627"/>
      <c r="C233" s="628"/>
      <c r="D233" s="628"/>
      <c r="E233" s="628"/>
      <c r="F233" s="628"/>
      <c r="G233" s="628"/>
      <c r="H233" s="629"/>
    </row>
    <row r="234" spans="2:8" ht="51">
      <c r="B234" s="154" t="s">
        <v>1980</v>
      </c>
      <c r="C234" s="155" t="s">
        <v>1981</v>
      </c>
      <c r="D234" s="156" t="s">
        <v>12</v>
      </c>
      <c r="E234" s="156" t="s">
        <v>24</v>
      </c>
      <c r="F234" s="157"/>
      <c r="G234" s="158"/>
      <c r="H234" s="159"/>
    </row>
    <row r="235" spans="2:8" ht="51">
      <c r="B235" s="160" t="s">
        <v>1415</v>
      </c>
      <c r="C235" s="161" t="s">
        <v>1416</v>
      </c>
      <c r="D235" s="162" t="s">
        <v>12</v>
      </c>
      <c r="E235" s="162" t="s">
        <v>37</v>
      </c>
      <c r="F235" s="163" t="s">
        <v>1414</v>
      </c>
      <c r="G235" s="164">
        <f>1366.93*1.2217</f>
        <v>1669.9783810000001</v>
      </c>
      <c r="H235" s="165">
        <f>F235*G235</f>
        <v>517.69329811</v>
      </c>
    </row>
    <row r="236" spans="2:8">
      <c r="B236" s="624" t="s">
        <v>1232</v>
      </c>
      <c r="C236" s="625"/>
      <c r="D236" s="625"/>
      <c r="E236" s="625"/>
      <c r="F236" s="625"/>
      <c r="G236" s="626"/>
      <c r="H236" s="166">
        <f>SUM(H235)</f>
        <v>517.69329811</v>
      </c>
    </row>
    <row r="237" spans="2:8">
      <c r="B237" s="654"/>
      <c r="C237" s="655"/>
      <c r="D237" s="655"/>
      <c r="E237" s="655"/>
      <c r="F237" s="655"/>
      <c r="G237" s="655"/>
      <c r="H237" s="655"/>
    </row>
    <row r="238" spans="2:8" ht="25.5">
      <c r="B238" s="154" t="s">
        <v>1982</v>
      </c>
      <c r="C238" s="170" t="s">
        <v>1810</v>
      </c>
      <c r="D238" s="141" t="s">
        <v>12</v>
      </c>
      <c r="E238" s="141" t="s">
        <v>24</v>
      </c>
      <c r="F238" s="142"/>
      <c r="G238" s="143"/>
      <c r="H238" s="144"/>
    </row>
    <row r="239" spans="2:8" ht="38.25">
      <c r="B239" s="145">
        <v>4944</v>
      </c>
      <c r="C239" s="98" t="s">
        <v>1811</v>
      </c>
      <c r="D239" s="99" t="s">
        <v>1812</v>
      </c>
      <c r="E239" s="99" t="s">
        <v>24</v>
      </c>
      <c r="F239" s="94">
        <v>1</v>
      </c>
      <c r="G239" s="95">
        <v>1653.04</v>
      </c>
      <c r="H239" s="147">
        <f>F239*G239</f>
        <v>1653.04</v>
      </c>
    </row>
    <row r="240" spans="2:8" ht="25.5">
      <c r="B240" s="145" t="s">
        <v>1338</v>
      </c>
      <c r="C240" s="98" t="s">
        <v>1339</v>
      </c>
      <c r="D240" s="99" t="s">
        <v>12</v>
      </c>
      <c r="E240" s="99" t="s">
        <v>1129</v>
      </c>
      <c r="F240" s="94">
        <v>0.8</v>
      </c>
      <c r="G240" s="95">
        <v>25.07</v>
      </c>
      <c r="H240" s="147">
        <f t="shared" ref="H240:H243" si="22">F240*G240</f>
        <v>20.056000000000001</v>
      </c>
    </row>
    <row r="241" spans="2:8" ht="25.5">
      <c r="B241" s="145" t="s">
        <v>1391</v>
      </c>
      <c r="C241" s="98" t="s">
        <v>1392</v>
      </c>
      <c r="D241" s="99" t="s">
        <v>12</v>
      </c>
      <c r="E241" s="99" t="s">
        <v>1129</v>
      </c>
      <c r="F241" s="94">
        <v>1.8</v>
      </c>
      <c r="G241" s="95">
        <v>24.93</v>
      </c>
      <c r="H241" s="147">
        <f t="shared" si="22"/>
        <v>44.874000000000002</v>
      </c>
    </row>
    <row r="242" spans="2:8" ht="25.5">
      <c r="B242" s="145" t="s">
        <v>1286</v>
      </c>
      <c r="C242" s="98" t="s">
        <v>1287</v>
      </c>
      <c r="D242" s="99" t="s">
        <v>12</v>
      </c>
      <c r="E242" s="99" t="s">
        <v>1129</v>
      </c>
      <c r="F242" s="94">
        <v>3</v>
      </c>
      <c r="G242" s="95">
        <v>18.649999999999999</v>
      </c>
      <c r="H242" s="147">
        <f t="shared" si="22"/>
        <v>55.949999999999996</v>
      </c>
    </row>
    <row r="243" spans="2:8" ht="38.25">
      <c r="B243" s="145" t="s">
        <v>1813</v>
      </c>
      <c r="C243" s="98" t="s">
        <v>1814</v>
      </c>
      <c r="D243" s="99" t="s">
        <v>12</v>
      </c>
      <c r="E243" s="99" t="s">
        <v>75</v>
      </c>
      <c r="F243" s="94">
        <v>6.0000000000000001E-3</v>
      </c>
      <c r="G243" s="95">
        <v>607.59</v>
      </c>
      <c r="H243" s="147">
        <f t="shared" si="22"/>
        <v>3.6455400000000004</v>
      </c>
    </row>
    <row r="244" spans="2:8">
      <c r="B244" s="630" t="s">
        <v>1232</v>
      </c>
      <c r="C244" s="631"/>
      <c r="D244" s="631"/>
      <c r="E244" s="631"/>
      <c r="F244" s="631"/>
      <c r="G244" s="632"/>
      <c r="H244" s="148">
        <f>SUM(H239:H243)</f>
        <v>1777.5655400000001</v>
      </c>
    </row>
    <row r="245" spans="2:8">
      <c r="B245" s="659"/>
      <c r="C245" s="660"/>
      <c r="D245" s="660"/>
      <c r="E245" s="660"/>
      <c r="F245" s="660"/>
      <c r="G245" s="660"/>
      <c r="H245" s="660"/>
    </row>
    <row r="246" spans="2:8" ht="25.5">
      <c r="B246" s="154" t="s">
        <v>1983</v>
      </c>
      <c r="C246" s="140" t="s">
        <v>1984</v>
      </c>
      <c r="D246" s="141" t="s">
        <v>12</v>
      </c>
      <c r="E246" s="141" t="s">
        <v>37</v>
      </c>
      <c r="F246" s="142"/>
      <c r="G246" s="143"/>
      <c r="H246" s="144"/>
    </row>
    <row r="247" spans="2:8" ht="38.25">
      <c r="B247" s="145">
        <v>11447</v>
      </c>
      <c r="C247" s="98" t="s">
        <v>1417</v>
      </c>
      <c r="D247" s="99" t="s">
        <v>401</v>
      </c>
      <c r="E247" s="99" t="s">
        <v>37</v>
      </c>
      <c r="F247" s="94">
        <v>2</v>
      </c>
      <c r="G247" s="95">
        <v>27.41</v>
      </c>
      <c r="H247" s="147">
        <f>F247*G247</f>
        <v>54.82</v>
      </c>
    </row>
    <row r="248" spans="2:8" ht="25.5">
      <c r="B248" s="145">
        <v>1327</v>
      </c>
      <c r="C248" s="98" t="s">
        <v>1418</v>
      </c>
      <c r="D248" s="99" t="s">
        <v>401</v>
      </c>
      <c r="E248" s="99" t="s">
        <v>112</v>
      </c>
      <c r="F248" s="94" t="s">
        <v>1419</v>
      </c>
      <c r="G248" s="95">
        <v>17.440000000000001</v>
      </c>
      <c r="H248" s="147">
        <f t="shared" ref="H248:H253" si="23">F248*G248</f>
        <v>8.5456000000000003</v>
      </c>
    </row>
    <row r="249" spans="2:8" ht="38.25" customHeight="1">
      <c r="B249" s="145">
        <v>567</v>
      </c>
      <c r="C249" s="98" t="s">
        <v>1420</v>
      </c>
      <c r="D249" s="99" t="s">
        <v>401</v>
      </c>
      <c r="E249" s="99" t="s">
        <v>15</v>
      </c>
      <c r="F249" s="94">
        <v>2.8</v>
      </c>
      <c r="G249" s="95">
        <v>15.73</v>
      </c>
      <c r="H249" s="147">
        <f t="shared" si="23"/>
        <v>44.043999999999997</v>
      </c>
    </row>
    <row r="250" spans="2:8" ht="25.5">
      <c r="B250" s="145" t="s">
        <v>1338</v>
      </c>
      <c r="C250" s="98" t="s">
        <v>1339</v>
      </c>
      <c r="D250" s="99" t="s">
        <v>12</v>
      </c>
      <c r="E250" s="99" t="s">
        <v>1129</v>
      </c>
      <c r="F250" s="94" t="s">
        <v>1421</v>
      </c>
      <c r="G250" s="95">
        <v>25.07</v>
      </c>
      <c r="H250" s="147">
        <f t="shared" si="23"/>
        <v>10.028</v>
      </c>
    </row>
    <row r="251" spans="2:8" ht="25.5">
      <c r="B251" s="145" t="s">
        <v>1391</v>
      </c>
      <c r="C251" s="98" t="s">
        <v>1392</v>
      </c>
      <c r="D251" s="99" t="s">
        <v>12</v>
      </c>
      <c r="E251" s="99" t="s">
        <v>1129</v>
      </c>
      <c r="F251" s="94" t="s">
        <v>1419</v>
      </c>
      <c r="G251" s="95">
        <v>24.93</v>
      </c>
      <c r="H251" s="147">
        <f t="shared" si="23"/>
        <v>12.2157</v>
      </c>
    </row>
    <row r="252" spans="2:8" ht="25.5">
      <c r="B252" s="145" t="s">
        <v>1286</v>
      </c>
      <c r="C252" s="98" t="s">
        <v>1287</v>
      </c>
      <c r="D252" s="99" t="s">
        <v>12</v>
      </c>
      <c r="E252" s="99" t="s">
        <v>1129</v>
      </c>
      <c r="F252" s="94" t="s">
        <v>1422</v>
      </c>
      <c r="G252" s="95">
        <v>18.649999999999999</v>
      </c>
      <c r="H252" s="147">
        <f t="shared" si="23"/>
        <v>16.598499999999998</v>
      </c>
    </row>
    <row r="253" spans="2:8" ht="38.25" customHeight="1">
      <c r="B253" s="145" t="s">
        <v>1409</v>
      </c>
      <c r="C253" s="98" t="s">
        <v>1410</v>
      </c>
      <c r="D253" s="99" t="s">
        <v>12</v>
      </c>
      <c r="E253" s="99" t="s">
        <v>75</v>
      </c>
      <c r="F253" s="94" t="s">
        <v>1297</v>
      </c>
      <c r="G253" s="95">
        <v>558.26</v>
      </c>
      <c r="H253" s="147">
        <f t="shared" si="23"/>
        <v>1.6747799999999999</v>
      </c>
    </row>
    <row r="254" spans="2:8">
      <c r="B254" s="630" t="s">
        <v>1232</v>
      </c>
      <c r="C254" s="631"/>
      <c r="D254" s="631"/>
      <c r="E254" s="631"/>
      <c r="F254" s="631"/>
      <c r="G254" s="632"/>
      <c r="H254" s="148">
        <f>SUM(H247:H253)</f>
        <v>147.92658</v>
      </c>
    </row>
    <row r="255" spans="2:8">
      <c r="B255" s="621"/>
      <c r="C255" s="622"/>
      <c r="D255" s="622"/>
      <c r="E255" s="622"/>
      <c r="F255" s="622"/>
      <c r="G255" s="622"/>
      <c r="H255" s="623"/>
    </row>
    <row r="256" spans="2:8" ht="102">
      <c r="B256" s="139" t="s">
        <v>1985</v>
      </c>
      <c r="C256" s="140" t="s">
        <v>1815</v>
      </c>
      <c r="D256" s="141" t="s">
        <v>12</v>
      </c>
      <c r="E256" s="141" t="s">
        <v>24</v>
      </c>
      <c r="F256" s="142"/>
      <c r="G256" s="143"/>
      <c r="H256" s="144"/>
    </row>
    <row r="257" spans="2:8" ht="38.25">
      <c r="B257" s="145" t="s">
        <v>1423</v>
      </c>
      <c r="C257" s="98" t="s">
        <v>1424</v>
      </c>
      <c r="D257" s="99" t="s">
        <v>401</v>
      </c>
      <c r="E257" s="99" t="s">
        <v>112</v>
      </c>
      <c r="F257" s="94">
        <v>1.6</v>
      </c>
      <c r="G257" s="95">
        <f>6.3*1.1325</f>
        <v>7.1347500000000004</v>
      </c>
      <c r="H257" s="147">
        <f>F257*G257</f>
        <v>11.415600000000001</v>
      </c>
    </row>
    <row r="258" spans="2:8" ht="38.25">
      <c r="B258" s="145">
        <v>7696</v>
      </c>
      <c r="C258" s="98" t="s">
        <v>1816</v>
      </c>
      <c r="D258" s="99" t="s">
        <v>401</v>
      </c>
      <c r="E258" s="99" t="s">
        <v>15</v>
      </c>
      <c r="F258" s="94">
        <v>2.11</v>
      </c>
      <c r="G258" s="95">
        <v>97.55</v>
      </c>
      <c r="H258" s="147">
        <f t="shared" ref="H258:H273" si="24">F258*G258</f>
        <v>205.83049999999997</v>
      </c>
    </row>
    <row r="259" spans="2:8" ht="25.5">
      <c r="B259" s="145">
        <v>3384</v>
      </c>
      <c r="C259" s="98" t="s">
        <v>1817</v>
      </c>
      <c r="D259" s="99" t="s">
        <v>401</v>
      </c>
      <c r="E259" s="99" t="s">
        <v>37</v>
      </c>
      <c r="F259" s="94">
        <v>0.45</v>
      </c>
      <c r="G259" s="95">
        <v>9.4499999999999993</v>
      </c>
      <c r="H259" s="147">
        <f t="shared" si="24"/>
        <v>4.2524999999999995</v>
      </c>
    </row>
    <row r="260" spans="2:8" ht="25.5">
      <c r="B260" s="145" t="s">
        <v>1427</v>
      </c>
      <c r="C260" s="98" t="s">
        <v>1428</v>
      </c>
      <c r="D260" s="99" t="s">
        <v>401</v>
      </c>
      <c r="E260" s="99" t="s">
        <v>112</v>
      </c>
      <c r="F260" s="94">
        <v>7.18</v>
      </c>
      <c r="G260" s="95">
        <f>6.3*1.1325</f>
        <v>7.1347500000000004</v>
      </c>
      <c r="H260" s="147">
        <f t="shared" si="24"/>
        <v>51.227505000000001</v>
      </c>
    </row>
    <row r="261" spans="2:8" ht="25.5">
      <c r="B261" s="145">
        <v>43130</v>
      </c>
      <c r="C261" s="98" t="s">
        <v>1818</v>
      </c>
      <c r="D261" s="99" t="s">
        <v>401</v>
      </c>
      <c r="E261" s="99" t="s">
        <v>112</v>
      </c>
      <c r="F261" s="94">
        <v>3.2000000000000001E-2</v>
      </c>
      <c r="G261" s="95">
        <v>27.45</v>
      </c>
      <c r="H261" s="147">
        <f t="shared" si="24"/>
        <v>0.87839999999999996</v>
      </c>
    </row>
    <row r="262" spans="2:8" ht="63.75">
      <c r="B262" s="145">
        <v>10935</v>
      </c>
      <c r="C262" s="98" t="s">
        <v>1819</v>
      </c>
      <c r="D262" s="99" t="s">
        <v>401</v>
      </c>
      <c r="E262" s="99" t="s">
        <v>24</v>
      </c>
      <c r="F262" s="94">
        <v>1.1000000000000001</v>
      </c>
      <c r="G262" s="95">
        <v>47.46</v>
      </c>
      <c r="H262" s="147">
        <f t="shared" si="24"/>
        <v>52.206000000000003</v>
      </c>
    </row>
    <row r="263" spans="2:8" ht="25.5">
      <c r="B263" s="145">
        <v>10997</v>
      </c>
      <c r="C263" s="98" t="s">
        <v>1429</v>
      </c>
      <c r="D263" s="99" t="s">
        <v>401</v>
      </c>
      <c r="E263" s="99" t="s">
        <v>112</v>
      </c>
      <c r="F263" s="94">
        <v>0.55000000000000004</v>
      </c>
      <c r="G263" s="95">
        <v>29.9</v>
      </c>
      <c r="H263" s="147">
        <f t="shared" si="24"/>
        <v>16.445</v>
      </c>
    </row>
    <row r="264" spans="2:8">
      <c r="B264" s="145">
        <v>43054</v>
      </c>
      <c r="C264" s="98" t="s">
        <v>1430</v>
      </c>
      <c r="D264" s="99" t="s">
        <v>401</v>
      </c>
      <c r="E264" s="99" t="s">
        <v>112</v>
      </c>
      <c r="F264" s="94">
        <v>3.52</v>
      </c>
      <c r="G264" s="95">
        <v>12.3</v>
      </c>
      <c r="H264" s="147">
        <f t="shared" si="24"/>
        <v>43.295999999999999</v>
      </c>
    </row>
    <row r="265" spans="2:8" ht="63.75">
      <c r="B265" s="145" t="s">
        <v>1433</v>
      </c>
      <c r="C265" s="98" t="s">
        <v>1434</v>
      </c>
      <c r="D265" s="99" t="s">
        <v>12</v>
      </c>
      <c r="E265" s="99" t="s">
        <v>1292</v>
      </c>
      <c r="F265" s="94">
        <v>0.56000000000000005</v>
      </c>
      <c r="G265" s="95">
        <v>3.92</v>
      </c>
      <c r="H265" s="147">
        <f t="shared" si="24"/>
        <v>2.1952000000000003</v>
      </c>
    </row>
    <row r="266" spans="2:8" ht="25.5">
      <c r="B266" s="145">
        <v>5075</v>
      </c>
      <c r="C266" s="98" t="s">
        <v>1820</v>
      </c>
      <c r="D266" s="99" t="s">
        <v>401</v>
      </c>
      <c r="E266" s="99" t="s">
        <v>112</v>
      </c>
      <c r="F266" s="94">
        <v>0.04</v>
      </c>
      <c r="G266" s="95">
        <v>24.31</v>
      </c>
      <c r="H266" s="147">
        <f t="shared" si="24"/>
        <v>0.97239999999999993</v>
      </c>
    </row>
    <row r="267" spans="2:8" ht="25.5">
      <c r="B267" s="145">
        <v>6193</v>
      </c>
      <c r="C267" s="98" t="s">
        <v>1986</v>
      </c>
      <c r="D267" s="99" t="s">
        <v>401</v>
      </c>
      <c r="E267" s="99" t="s">
        <v>24</v>
      </c>
      <c r="F267" s="94">
        <v>4.8000000000000001E-2</v>
      </c>
      <c r="G267" s="95">
        <v>21.05</v>
      </c>
      <c r="H267" s="147">
        <f t="shared" si="24"/>
        <v>1.0104</v>
      </c>
    </row>
    <row r="268" spans="2:8" ht="25.5">
      <c r="B268" s="145" t="s">
        <v>1399</v>
      </c>
      <c r="C268" s="98" t="s">
        <v>1822</v>
      </c>
      <c r="D268" s="99" t="s">
        <v>12</v>
      </c>
      <c r="E268" s="99" t="s">
        <v>75</v>
      </c>
      <c r="F268" s="94">
        <v>1.7999999999999999E-2</v>
      </c>
      <c r="G268" s="95">
        <v>453.98</v>
      </c>
      <c r="H268" s="147">
        <f t="shared" si="24"/>
        <v>8.17164</v>
      </c>
    </row>
    <row r="269" spans="2:8" ht="25.5">
      <c r="B269" s="145" t="s">
        <v>1823</v>
      </c>
      <c r="C269" s="98" t="s">
        <v>1824</v>
      </c>
      <c r="D269" s="99" t="s">
        <v>12</v>
      </c>
      <c r="E269" s="99" t="s">
        <v>1129</v>
      </c>
      <c r="F269" s="94">
        <v>0.5</v>
      </c>
      <c r="G269" s="95">
        <v>24.86</v>
      </c>
      <c r="H269" s="147">
        <f t="shared" si="24"/>
        <v>12.43</v>
      </c>
    </row>
    <row r="270" spans="2:8" ht="25.5">
      <c r="B270" s="145" t="s">
        <v>1338</v>
      </c>
      <c r="C270" s="98" t="s">
        <v>1339</v>
      </c>
      <c r="D270" s="99" t="s">
        <v>12</v>
      </c>
      <c r="E270" s="99" t="s">
        <v>1129</v>
      </c>
      <c r="F270" s="94">
        <v>0.5</v>
      </c>
      <c r="G270" s="95">
        <v>25.07</v>
      </c>
      <c r="H270" s="147">
        <f t="shared" si="24"/>
        <v>12.535</v>
      </c>
    </row>
    <row r="271" spans="2:8" ht="25.5">
      <c r="B271" s="145" t="s">
        <v>1391</v>
      </c>
      <c r="C271" s="98" t="s">
        <v>1392</v>
      </c>
      <c r="D271" s="99" t="s">
        <v>12</v>
      </c>
      <c r="E271" s="99" t="s">
        <v>1129</v>
      </c>
      <c r="F271" s="94">
        <v>1.78</v>
      </c>
      <c r="G271" s="95">
        <v>24.93</v>
      </c>
      <c r="H271" s="147">
        <f t="shared" si="24"/>
        <v>44.375399999999999</v>
      </c>
    </row>
    <row r="272" spans="2:8" ht="25.5">
      <c r="B272" s="145" t="s">
        <v>1286</v>
      </c>
      <c r="C272" s="98" t="s">
        <v>1287</v>
      </c>
      <c r="D272" s="99" t="s">
        <v>12</v>
      </c>
      <c r="E272" s="99" t="s">
        <v>1129</v>
      </c>
      <c r="F272" s="94">
        <v>3.2</v>
      </c>
      <c r="G272" s="95">
        <v>18.649999999999999</v>
      </c>
      <c r="H272" s="147">
        <f t="shared" si="24"/>
        <v>59.68</v>
      </c>
    </row>
    <row r="273" spans="2:12" ht="25.5">
      <c r="B273" s="145" t="s">
        <v>1431</v>
      </c>
      <c r="C273" s="98" t="s">
        <v>1432</v>
      </c>
      <c r="D273" s="99" t="s">
        <v>12</v>
      </c>
      <c r="E273" s="99" t="s">
        <v>1129</v>
      </c>
      <c r="F273" s="94">
        <v>0.56000000000000005</v>
      </c>
      <c r="G273" s="95">
        <v>25.75</v>
      </c>
      <c r="H273" s="147">
        <f t="shared" si="24"/>
        <v>14.420000000000002</v>
      </c>
    </row>
    <row r="274" spans="2:12">
      <c r="B274" s="630" t="s">
        <v>1232</v>
      </c>
      <c r="C274" s="631"/>
      <c r="D274" s="631"/>
      <c r="E274" s="631"/>
      <c r="F274" s="631"/>
      <c r="G274" s="632"/>
      <c r="H274" s="148">
        <f>SUM(H257:H273)</f>
        <v>541.341545</v>
      </c>
    </row>
    <row r="275" spans="2:12">
      <c r="B275" s="661"/>
      <c r="C275" s="662"/>
      <c r="D275" s="662"/>
      <c r="E275" s="662"/>
      <c r="F275" s="662"/>
      <c r="G275" s="662"/>
      <c r="H275" s="663"/>
    </row>
    <row r="276" spans="2:12" ht="38.25" customHeight="1">
      <c r="B276" s="92" t="s">
        <v>1987</v>
      </c>
      <c r="C276" s="138" t="s">
        <v>1825</v>
      </c>
      <c r="D276" s="93" t="s">
        <v>12</v>
      </c>
      <c r="E276" s="93" t="s">
        <v>37</v>
      </c>
      <c r="F276" s="94"/>
      <c r="G276" s="95"/>
      <c r="H276" s="96"/>
      <c r="J276" s="653" t="s">
        <v>2824</v>
      </c>
      <c r="K276" s="653"/>
      <c r="L276" s="653"/>
    </row>
    <row r="277" spans="2:12" ht="25.5">
      <c r="B277" s="97" t="s">
        <v>1436</v>
      </c>
      <c r="C277" s="98" t="s">
        <v>1437</v>
      </c>
      <c r="D277" s="99" t="s">
        <v>401</v>
      </c>
      <c r="E277" s="99" t="s">
        <v>112</v>
      </c>
      <c r="F277" s="94">
        <v>32.200000000000003</v>
      </c>
      <c r="G277" s="95">
        <f t="shared" ref="G277:G284" si="25">6.3*1.2217</f>
        <v>7.6967099999999995</v>
      </c>
      <c r="H277" s="96">
        <f t="shared" ref="H277:H292" si="26">F277*G277</f>
        <v>247.83406200000002</v>
      </c>
      <c r="J277" s="653"/>
      <c r="K277" s="653"/>
      <c r="L277" s="653"/>
    </row>
    <row r="278" spans="2:12" ht="25.5">
      <c r="B278" s="97" t="s">
        <v>1438</v>
      </c>
      <c r="C278" s="98" t="s">
        <v>1439</v>
      </c>
      <c r="D278" s="99" t="s">
        <v>401</v>
      </c>
      <c r="E278" s="99" t="s">
        <v>112</v>
      </c>
      <c r="F278" s="94">
        <v>99.9</v>
      </c>
      <c r="G278" s="95">
        <f t="shared" si="25"/>
        <v>7.6967099999999995</v>
      </c>
      <c r="H278" s="96">
        <f t="shared" si="26"/>
        <v>768.90132900000003</v>
      </c>
    </row>
    <row r="279" spans="2:12" ht="25.5">
      <c r="B279" s="97" t="s">
        <v>1440</v>
      </c>
      <c r="C279" s="98" t="s">
        <v>1441</v>
      </c>
      <c r="D279" s="99" t="s">
        <v>401</v>
      </c>
      <c r="E279" s="99" t="s">
        <v>112</v>
      </c>
      <c r="F279" s="94">
        <v>6.69</v>
      </c>
      <c r="G279" s="95">
        <f t="shared" si="25"/>
        <v>7.6967099999999995</v>
      </c>
      <c r="H279" s="96">
        <f t="shared" si="26"/>
        <v>51.490989900000002</v>
      </c>
    </row>
    <row r="280" spans="2:12" ht="25.5">
      <c r="B280" s="97" t="s">
        <v>1442</v>
      </c>
      <c r="C280" s="98" t="s">
        <v>1443</v>
      </c>
      <c r="D280" s="99" t="s">
        <v>401</v>
      </c>
      <c r="E280" s="99" t="s">
        <v>112</v>
      </c>
      <c r="F280" s="94">
        <v>57.1</v>
      </c>
      <c r="G280" s="95">
        <f t="shared" si="25"/>
        <v>7.6967099999999995</v>
      </c>
      <c r="H280" s="96">
        <f t="shared" si="26"/>
        <v>439.48214099999996</v>
      </c>
    </row>
    <row r="281" spans="2:12" ht="25.5">
      <c r="B281" s="97" t="s">
        <v>1444</v>
      </c>
      <c r="C281" s="98" t="s">
        <v>1445</v>
      </c>
      <c r="D281" s="99" t="s">
        <v>401</v>
      </c>
      <c r="E281" s="99" t="s">
        <v>112</v>
      </c>
      <c r="F281" s="94">
        <v>8.6</v>
      </c>
      <c r="G281" s="95">
        <f t="shared" si="25"/>
        <v>7.6967099999999995</v>
      </c>
      <c r="H281" s="96">
        <f t="shared" si="26"/>
        <v>66.191705999999996</v>
      </c>
    </row>
    <row r="282" spans="2:12" ht="25.5">
      <c r="B282" s="97" t="s">
        <v>1446</v>
      </c>
      <c r="C282" s="98" t="s">
        <v>1447</v>
      </c>
      <c r="D282" s="99" t="s">
        <v>401</v>
      </c>
      <c r="E282" s="99" t="s">
        <v>112</v>
      </c>
      <c r="F282" s="94">
        <v>45.15</v>
      </c>
      <c r="G282" s="95">
        <f t="shared" si="25"/>
        <v>7.6967099999999995</v>
      </c>
      <c r="H282" s="96">
        <f t="shared" si="26"/>
        <v>347.50645649999996</v>
      </c>
    </row>
    <row r="283" spans="2:12" ht="25.5">
      <c r="B283" s="97" t="s">
        <v>1448</v>
      </c>
      <c r="C283" s="98" t="s">
        <v>1449</v>
      </c>
      <c r="D283" s="99" t="s">
        <v>401</v>
      </c>
      <c r="E283" s="99" t="s">
        <v>112</v>
      </c>
      <c r="F283" s="94">
        <v>6.16</v>
      </c>
      <c r="G283" s="95">
        <f t="shared" si="25"/>
        <v>7.6967099999999995</v>
      </c>
      <c r="H283" s="96">
        <f t="shared" si="26"/>
        <v>47.411733599999998</v>
      </c>
    </row>
    <row r="284" spans="2:12" ht="25.5">
      <c r="B284" s="97" t="s">
        <v>1450</v>
      </c>
      <c r="C284" s="98" t="s">
        <v>1451</v>
      </c>
      <c r="D284" s="99" t="s">
        <v>401</v>
      </c>
      <c r="E284" s="99" t="s">
        <v>112</v>
      </c>
      <c r="F284" s="94">
        <v>34.44</v>
      </c>
      <c r="G284" s="95">
        <f t="shared" si="25"/>
        <v>7.6967099999999995</v>
      </c>
      <c r="H284" s="96">
        <f t="shared" si="26"/>
        <v>265.07469239999995</v>
      </c>
    </row>
    <row r="285" spans="2:12">
      <c r="B285" s="97" t="s">
        <v>1452</v>
      </c>
      <c r="C285" s="98" t="s">
        <v>1453</v>
      </c>
      <c r="D285" s="99" t="s">
        <v>401</v>
      </c>
      <c r="E285" s="99" t="s">
        <v>1454</v>
      </c>
      <c r="F285" s="94">
        <v>6</v>
      </c>
      <c r="G285" s="95">
        <f>45.28*1.2217</f>
        <v>55.318576</v>
      </c>
      <c r="H285" s="96">
        <f t="shared" si="26"/>
        <v>331.91145599999999</v>
      </c>
    </row>
    <row r="286" spans="2:12">
      <c r="B286" s="97" t="s">
        <v>1455</v>
      </c>
      <c r="C286" s="98" t="s">
        <v>1456</v>
      </c>
      <c r="D286" s="99" t="s">
        <v>401</v>
      </c>
      <c r="E286" s="99" t="s">
        <v>37</v>
      </c>
      <c r="F286" s="94">
        <v>6</v>
      </c>
      <c r="G286" s="95">
        <f>49.4*1.2217</f>
        <v>60.351979999999998</v>
      </c>
      <c r="H286" s="96">
        <f t="shared" si="26"/>
        <v>362.11187999999999</v>
      </c>
    </row>
    <row r="287" spans="2:12" ht="25.5">
      <c r="B287" s="97">
        <v>11002</v>
      </c>
      <c r="C287" s="98" t="s">
        <v>1457</v>
      </c>
      <c r="D287" s="99" t="s">
        <v>401</v>
      </c>
      <c r="E287" s="99" t="s">
        <v>112</v>
      </c>
      <c r="F287" s="94">
        <v>2.5</v>
      </c>
      <c r="G287" s="95">
        <v>28.71</v>
      </c>
      <c r="H287" s="96">
        <f t="shared" si="26"/>
        <v>71.775000000000006</v>
      </c>
    </row>
    <row r="288" spans="2:12" ht="38.25">
      <c r="B288" s="97">
        <v>11964</v>
      </c>
      <c r="C288" s="98" t="s">
        <v>1459</v>
      </c>
      <c r="D288" s="99" t="s">
        <v>401</v>
      </c>
      <c r="E288" s="99" t="s">
        <v>37</v>
      </c>
      <c r="F288" s="94">
        <v>8</v>
      </c>
      <c r="G288" s="95">
        <v>2.2599999999999998</v>
      </c>
      <c r="H288" s="96">
        <f t="shared" si="26"/>
        <v>18.079999999999998</v>
      </c>
    </row>
    <row r="289" spans="2:8" ht="25.5">
      <c r="B289" s="97">
        <v>20259</v>
      </c>
      <c r="C289" s="98" t="s">
        <v>1460</v>
      </c>
      <c r="D289" s="99" t="s">
        <v>401</v>
      </c>
      <c r="E289" s="99" t="s">
        <v>15</v>
      </c>
      <c r="F289" s="94">
        <v>70</v>
      </c>
      <c r="G289" s="95">
        <v>12.5</v>
      </c>
      <c r="H289" s="96">
        <f t="shared" si="26"/>
        <v>875</v>
      </c>
    </row>
    <row r="290" spans="2:8" ht="38.25">
      <c r="B290" s="97" t="s">
        <v>1463</v>
      </c>
      <c r="C290" s="98" t="s">
        <v>1464</v>
      </c>
      <c r="D290" s="99" t="s">
        <v>12</v>
      </c>
      <c r="E290" s="99" t="s">
        <v>24</v>
      </c>
      <c r="F290" s="94">
        <v>10.38</v>
      </c>
      <c r="G290" s="95">
        <f>15.79*1.0981</f>
        <v>17.338999000000001</v>
      </c>
      <c r="H290" s="96">
        <f t="shared" si="26"/>
        <v>179.97880962000002</v>
      </c>
    </row>
    <row r="291" spans="2:8" ht="51">
      <c r="B291" s="97">
        <v>7568</v>
      </c>
      <c r="C291" s="98" t="s">
        <v>1465</v>
      </c>
      <c r="D291" s="99" t="s">
        <v>401</v>
      </c>
      <c r="E291" s="99" t="s">
        <v>37</v>
      </c>
      <c r="F291" s="94">
        <v>4</v>
      </c>
      <c r="G291" s="95">
        <v>0.98</v>
      </c>
      <c r="H291" s="96">
        <f t="shared" si="26"/>
        <v>3.92</v>
      </c>
    </row>
    <row r="292" spans="2:8" ht="25.5">
      <c r="B292" s="97" t="s">
        <v>1356</v>
      </c>
      <c r="C292" s="98" t="s">
        <v>1357</v>
      </c>
      <c r="D292" s="99" t="s">
        <v>12</v>
      </c>
      <c r="E292" s="99" t="s">
        <v>1129</v>
      </c>
      <c r="F292" s="94">
        <v>33.200000000000003</v>
      </c>
      <c r="G292" s="95">
        <v>22.06</v>
      </c>
      <c r="H292" s="96">
        <f t="shared" si="26"/>
        <v>732.39200000000005</v>
      </c>
    </row>
    <row r="293" spans="2:8" ht="25.5">
      <c r="B293" s="97" t="s">
        <v>1391</v>
      </c>
      <c r="C293" s="98" t="s">
        <v>1392</v>
      </c>
      <c r="D293" s="99" t="s">
        <v>12</v>
      </c>
      <c r="E293" s="99" t="s">
        <v>1129</v>
      </c>
      <c r="F293" s="94">
        <v>16.600000000000001</v>
      </c>
      <c r="G293" s="95">
        <v>24.93</v>
      </c>
      <c r="H293" s="96">
        <f>F293*G293</f>
        <v>413.83800000000002</v>
      </c>
    </row>
    <row r="294" spans="2:8">
      <c r="B294" s="636" t="s">
        <v>1232</v>
      </c>
      <c r="C294" s="637"/>
      <c r="D294" s="637"/>
      <c r="E294" s="637"/>
      <c r="F294" s="637"/>
      <c r="G294" s="638"/>
      <c r="H294" s="100">
        <f>SUM(H277:H293)</f>
        <v>5222.9002560199997</v>
      </c>
    </row>
    <row r="295" spans="2:8">
      <c r="B295" s="621"/>
      <c r="C295" s="622"/>
      <c r="D295" s="622"/>
      <c r="E295" s="622"/>
      <c r="F295" s="622"/>
      <c r="G295" s="622"/>
      <c r="H295" s="623"/>
    </row>
    <row r="296" spans="2:8" ht="38.25">
      <c r="B296" s="139" t="s">
        <v>1988</v>
      </c>
      <c r="C296" s="140" t="s">
        <v>1826</v>
      </c>
      <c r="D296" s="141" t="s">
        <v>12</v>
      </c>
      <c r="E296" s="141" t="s">
        <v>37</v>
      </c>
      <c r="F296" s="142"/>
      <c r="G296" s="143"/>
      <c r="H296" s="144"/>
    </row>
    <row r="297" spans="2:8" ht="25.5">
      <c r="B297" s="145" t="s">
        <v>1438</v>
      </c>
      <c r="C297" s="98" t="s">
        <v>1439</v>
      </c>
      <c r="D297" s="99" t="s">
        <v>401</v>
      </c>
      <c r="E297" s="99" t="s">
        <v>112</v>
      </c>
      <c r="F297" s="94">
        <v>44.4</v>
      </c>
      <c r="G297" s="95">
        <f t="shared" ref="G297:G303" si="27">6.3*1.2217</f>
        <v>7.6967099999999995</v>
      </c>
      <c r="H297" s="147">
        <f>F297*G297</f>
        <v>341.73392399999994</v>
      </c>
    </row>
    <row r="298" spans="2:8" ht="25.5">
      <c r="B298" s="145" t="s">
        <v>1440</v>
      </c>
      <c r="C298" s="98" t="s">
        <v>1441</v>
      </c>
      <c r="D298" s="99" t="s">
        <v>401</v>
      </c>
      <c r="E298" s="99" t="s">
        <v>112</v>
      </c>
      <c r="F298" s="94">
        <v>6.69</v>
      </c>
      <c r="G298" s="95">
        <f t="shared" si="27"/>
        <v>7.6967099999999995</v>
      </c>
      <c r="H298" s="147">
        <f t="shared" ref="H298:H314" si="28">F298*G298</f>
        <v>51.490989900000002</v>
      </c>
    </row>
    <row r="299" spans="2:8" ht="25.5">
      <c r="B299" s="145" t="s">
        <v>1442</v>
      </c>
      <c r="C299" s="98" t="s">
        <v>1443</v>
      </c>
      <c r="D299" s="99" t="s">
        <v>401</v>
      </c>
      <c r="E299" s="99" t="s">
        <v>112</v>
      </c>
      <c r="F299" s="94">
        <v>19.149999999999999</v>
      </c>
      <c r="G299" s="95">
        <f t="shared" si="27"/>
        <v>7.6967099999999995</v>
      </c>
      <c r="H299" s="147">
        <f t="shared" si="28"/>
        <v>147.39199649999998</v>
      </c>
    </row>
    <row r="300" spans="2:8" ht="25.5">
      <c r="B300" s="145" t="s">
        <v>1444</v>
      </c>
      <c r="C300" s="98" t="s">
        <v>1445</v>
      </c>
      <c r="D300" s="99" t="s">
        <v>401</v>
      </c>
      <c r="E300" s="99" t="s">
        <v>112</v>
      </c>
      <c r="F300" s="94">
        <v>5.74</v>
      </c>
      <c r="G300" s="95">
        <f t="shared" si="27"/>
        <v>7.6967099999999995</v>
      </c>
      <c r="H300" s="147">
        <f t="shared" si="28"/>
        <v>44.179115400000001</v>
      </c>
    </row>
    <row r="301" spans="2:8" ht="25.5">
      <c r="B301" s="145" t="s">
        <v>1446</v>
      </c>
      <c r="C301" s="98" t="s">
        <v>1447</v>
      </c>
      <c r="D301" s="99" t="s">
        <v>401</v>
      </c>
      <c r="E301" s="99" t="s">
        <v>112</v>
      </c>
      <c r="F301" s="94">
        <v>32.25</v>
      </c>
      <c r="G301" s="95">
        <f t="shared" si="27"/>
        <v>7.6967099999999995</v>
      </c>
      <c r="H301" s="147">
        <f t="shared" si="28"/>
        <v>248.2188975</v>
      </c>
    </row>
    <row r="302" spans="2:8" ht="25.5">
      <c r="B302" s="145" t="s">
        <v>1448</v>
      </c>
      <c r="C302" s="98" t="s">
        <v>1449</v>
      </c>
      <c r="D302" s="99" t="s">
        <v>401</v>
      </c>
      <c r="E302" s="99" t="s">
        <v>112</v>
      </c>
      <c r="F302" s="94">
        <v>5.12</v>
      </c>
      <c r="G302" s="95">
        <f t="shared" si="27"/>
        <v>7.6967099999999995</v>
      </c>
      <c r="H302" s="147">
        <f t="shared" si="28"/>
        <v>39.407155199999998</v>
      </c>
    </row>
    <row r="303" spans="2:8" ht="25.5">
      <c r="B303" s="145" t="s">
        <v>1450</v>
      </c>
      <c r="C303" s="98" t="s">
        <v>1451</v>
      </c>
      <c r="D303" s="99" t="s">
        <v>401</v>
      </c>
      <c r="E303" s="99" t="s">
        <v>112</v>
      </c>
      <c r="F303" s="94">
        <v>16.34</v>
      </c>
      <c r="G303" s="95">
        <f t="shared" si="27"/>
        <v>7.6967099999999995</v>
      </c>
      <c r="H303" s="147">
        <f t="shared" si="28"/>
        <v>125.76424139999999</v>
      </c>
    </row>
    <row r="304" spans="2:8">
      <c r="B304" s="145" t="s">
        <v>1452</v>
      </c>
      <c r="C304" s="98" t="s">
        <v>1453</v>
      </c>
      <c r="D304" s="99" t="s">
        <v>401</v>
      </c>
      <c r="E304" s="99" t="s">
        <v>1454</v>
      </c>
      <c r="F304" s="94">
        <v>4</v>
      </c>
      <c r="G304" s="95">
        <f>45.28*1.2217</f>
        <v>55.318576</v>
      </c>
      <c r="H304" s="147">
        <f t="shared" si="28"/>
        <v>221.274304</v>
      </c>
    </row>
    <row r="305" spans="2:8">
      <c r="B305" s="145" t="s">
        <v>1455</v>
      </c>
      <c r="C305" s="98" t="s">
        <v>1456</v>
      </c>
      <c r="D305" s="99" t="s">
        <v>401</v>
      </c>
      <c r="E305" s="99" t="s">
        <v>37</v>
      </c>
      <c r="F305" s="94">
        <v>4</v>
      </c>
      <c r="G305" s="95">
        <f>49.4*1.2217</f>
        <v>60.351979999999998</v>
      </c>
      <c r="H305" s="147">
        <f t="shared" si="28"/>
        <v>241.40791999999999</v>
      </c>
    </row>
    <row r="306" spans="2:8" ht="25.5">
      <c r="B306" s="145">
        <v>11002</v>
      </c>
      <c r="C306" s="98" t="s">
        <v>1457</v>
      </c>
      <c r="D306" s="99" t="s">
        <v>401</v>
      </c>
      <c r="E306" s="99" t="s">
        <v>112</v>
      </c>
      <c r="F306" s="94">
        <v>0.4</v>
      </c>
      <c r="G306" s="95">
        <v>28.71</v>
      </c>
      <c r="H306" s="147">
        <f t="shared" si="28"/>
        <v>11.484000000000002</v>
      </c>
    </row>
    <row r="307" spans="2:8" ht="38.25">
      <c r="B307" s="145">
        <v>11058</v>
      </c>
      <c r="C307" s="98" t="s">
        <v>1458</v>
      </c>
      <c r="D307" s="99" t="s">
        <v>401</v>
      </c>
      <c r="E307" s="99" t="s">
        <v>37</v>
      </c>
      <c r="F307" s="94">
        <v>20</v>
      </c>
      <c r="G307" s="95">
        <v>0.44</v>
      </c>
      <c r="H307" s="147">
        <f t="shared" si="28"/>
        <v>8.8000000000000007</v>
      </c>
    </row>
    <row r="308" spans="2:8" ht="38.25">
      <c r="B308" s="145">
        <v>11964</v>
      </c>
      <c r="C308" s="98" t="s">
        <v>1459</v>
      </c>
      <c r="D308" s="99" t="s">
        <v>401</v>
      </c>
      <c r="E308" s="99" t="s">
        <v>37</v>
      </c>
      <c r="F308" s="94">
        <v>3</v>
      </c>
      <c r="G308" s="95">
        <v>2.2599999999999998</v>
      </c>
      <c r="H308" s="147">
        <f t="shared" si="28"/>
        <v>6.7799999999999994</v>
      </c>
    </row>
    <row r="309" spans="2:8" ht="25.5">
      <c r="B309" s="145">
        <v>20259</v>
      </c>
      <c r="C309" s="98" t="s">
        <v>1460</v>
      </c>
      <c r="D309" s="99" t="s">
        <v>401</v>
      </c>
      <c r="E309" s="99" t="s">
        <v>15</v>
      </c>
      <c r="F309" s="94">
        <v>47</v>
      </c>
      <c r="G309" s="95">
        <v>17.34</v>
      </c>
      <c r="H309" s="147">
        <f t="shared" si="28"/>
        <v>814.98</v>
      </c>
    </row>
    <row r="310" spans="2:8" ht="38.25">
      <c r="B310" s="145" t="s">
        <v>1463</v>
      </c>
      <c r="C310" s="98" t="s">
        <v>1464</v>
      </c>
      <c r="D310" s="99" t="s">
        <v>12</v>
      </c>
      <c r="E310" s="99" t="s">
        <v>24</v>
      </c>
      <c r="F310" s="94">
        <v>4.5999999999999996</v>
      </c>
      <c r="G310" s="95">
        <f>15.79*1.2217</f>
        <v>19.290642999999999</v>
      </c>
      <c r="H310" s="147">
        <f t="shared" si="28"/>
        <v>88.736957799999985</v>
      </c>
    </row>
    <row r="311" spans="2:8" ht="51">
      <c r="B311" s="145">
        <v>7568</v>
      </c>
      <c r="C311" s="98" t="s">
        <v>1465</v>
      </c>
      <c r="D311" s="99" t="s">
        <v>401</v>
      </c>
      <c r="E311" s="99" t="s">
        <v>37</v>
      </c>
      <c r="F311" s="94">
        <v>2</v>
      </c>
      <c r="G311" s="95">
        <v>0.98</v>
      </c>
      <c r="H311" s="147">
        <f t="shared" si="28"/>
        <v>1.96</v>
      </c>
    </row>
    <row r="312" spans="2:8" ht="25.5">
      <c r="B312" s="145" t="s">
        <v>1466</v>
      </c>
      <c r="C312" s="98" t="s">
        <v>1467</v>
      </c>
      <c r="D312" s="99" t="s">
        <v>12</v>
      </c>
      <c r="E312" s="99" t="s">
        <v>15</v>
      </c>
      <c r="F312" s="94">
        <v>1</v>
      </c>
      <c r="G312" s="95">
        <v>98.76</v>
      </c>
      <c r="H312" s="147">
        <f t="shared" si="28"/>
        <v>98.76</v>
      </c>
    </row>
    <row r="313" spans="2:8" ht="25.5">
      <c r="B313" s="145" t="s">
        <v>1356</v>
      </c>
      <c r="C313" s="98" t="s">
        <v>1357</v>
      </c>
      <c r="D313" s="99" t="s">
        <v>12</v>
      </c>
      <c r="E313" s="99" t="s">
        <v>1129</v>
      </c>
      <c r="F313" s="94">
        <v>25.6</v>
      </c>
      <c r="G313" s="95">
        <v>22.06</v>
      </c>
      <c r="H313" s="147">
        <f t="shared" si="28"/>
        <v>564.73599999999999</v>
      </c>
    </row>
    <row r="314" spans="2:8" ht="25.5">
      <c r="B314" s="145" t="s">
        <v>1391</v>
      </c>
      <c r="C314" s="98" t="s">
        <v>1392</v>
      </c>
      <c r="D314" s="99" t="s">
        <v>12</v>
      </c>
      <c r="E314" s="99" t="s">
        <v>1129</v>
      </c>
      <c r="F314" s="94">
        <v>12.8</v>
      </c>
      <c r="G314" s="95">
        <v>24.93</v>
      </c>
      <c r="H314" s="147">
        <f t="shared" si="28"/>
        <v>319.10400000000004</v>
      </c>
    </row>
    <row r="315" spans="2:8">
      <c r="B315" s="630" t="s">
        <v>1232</v>
      </c>
      <c r="C315" s="631"/>
      <c r="D315" s="631"/>
      <c r="E315" s="631"/>
      <c r="F315" s="631"/>
      <c r="G315" s="632"/>
      <c r="H315" s="148">
        <f>SUM(H297:H314)</f>
        <v>3376.2095017000001</v>
      </c>
    </row>
    <row r="316" spans="2:8">
      <c r="B316" s="636"/>
      <c r="C316" s="637"/>
      <c r="D316" s="637"/>
      <c r="E316" s="637"/>
      <c r="F316" s="637"/>
      <c r="G316" s="637"/>
      <c r="H316" s="638"/>
    </row>
    <row r="317" spans="2:8" ht="38.25">
      <c r="B317" s="92" t="s">
        <v>1989</v>
      </c>
      <c r="C317" s="138" t="s">
        <v>1827</v>
      </c>
      <c r="D317" s="93" t="s">
        <v>12</v>
      </c>
      <c r="E317" s="93" t="s">
        <v>37</v>
      </c>
      <c r="F317" s="94"/>
      <c r="G317" s="95"/>
      <c r="H317" s="96"/>
    </row>
    <row r="318" spans="2:8" ht="25.5">
      <c r="B318" s="97" t="s">
        <v>1438</v>
      </c>
      <c r="C318" s="98" t="s">
        <v>1439</v>
      </c>
      <c r="D318" s="99" t="s">
        <v>401</v>
      </c>
      <c r="E318" s="99" t="s">
        <v>112</v>
      </c>
      <c r="F318" s="94">
        <v>44.4</v>
      </c>
      <c r="G318" s="95">
        <f t="shared" ref="G318:G324" si="29">6.3*1.2217</f>
        <v>7.6967099999999995</v>
      </c>
      <c r="H318" s="96">
        <f>F318*G318</f>
        <v>341.73392399999994</v>
      </c>
    </row>
    <row r="319" spans="2:8" ht="25.5">
      <c r="B319" s="97" t="s">
        <v>1440</v>
      </c>
      <c r="C319" s="98" t="s">
        <v>1441</v>
      </c>
      <c r="D319" s="99" t="s">
        <v>401</v>
      </c>
      <c r="E319" s="99" t="s">
        <v>112</v>
      </c>
      <c r="F319" s="94">
        <v>6.69</v>
      </c>
      <c r="G319" s="95">
        <f t="shared" si="29"/>
        <v>7.6967099999999995</v>
      </c>
      <c r="H319" s="96">
        <f t="shared" ref="H319:H334" si="30">F319*G319</f>
        <v>51.490989900000002</v>
      </c>
    </row>
    <row r="320" spans="2:8" ht="25.5">
      <c r="B320" s="97" t="s">
        <v>1442</v>
      </c>
      <c r="C320" s="98" t="s">
        <v>1443</v>
      </c>
      <c r="D320" s="99" t="s">
        <v>401</v>
      </c>
      <c r="E320" s="99" t="s">
        <v>112</v>
      </c>
      <c r="F320" s="94">
        <v>19.149999999999999</v>
      </c>
      <c r="G320" s="95">
        <f t="shared" si="29"/>
        <v>7.6967099999999995</v>
      </c>
      <c r="H320" s="96">
        <f t="shared" si="30"/>
        <v>147.39199649999998</v>
      </c>
    </row>
    <row r="321" spans="1:45" ht="25.5">
      <c r="B321" s="97" t="s">
        <v>1444</v>
      </c>
      <c r="C321" s="98" t="s">
        <v>1445</v>
      </c>
      <c r="D321" s="99" t="s">
        <v>401</v>
      </c>
      <c r="E321" s="99" t="s">
        <v>112</v>
      </c>
      <c r="F321" s="94">
        <v>5.74</v>
      </c>
      <c r="G321" s="95">
        <f t="shared" si="29"/>
        <v>7.6967099999999995</v>
      </c>
      <c r="H321" s="96">
        <f t="shared" si="30"/>
        <v>44.179115400000001</v>
      </c>
    </row>
    <row r="322" spans="1:45" ht="25.5">
      <c r="B322" s="97" t="s">
        <v>1446</v>
      </c>
      <c r="C322" s="98" t="s">
        <v>1447</v>
      </c>
      <c r="D322" s="99" t="s">
        <v>401</v>
      </c>
      <c r="E322" s="99" t="s">
        <v>112</v>
      </c>
      <c r="F322" s="94">
        <v>32.25</v>
      </c>
      <c r="G322" s="95">
        <f t="shared" si="29"/>
        <v>7.6967099999999995</v>
      </c>
      <c r="H322" s="96">
        <f t="shared" si="30"/>
        <v>248.2188975</v>
      </c>
    </row>
    <row r="323" spans="1:45" ht="25.5">
      <c r="B323" s="97" t="s">
        <v>1448</v>
      </c>
      <c r="C323" s="98" t="s">
        <v>1449</v>
      </c>
      <c r="D323" s="99" t="s">
        <v>401</v>
      </c>
      <c r="E323" s="99" t="s">
        <v>112</v>
      </c>
      <c r="F323" s="94">
        <v>5.12</v>
      </c>
      <c r="G323" s="95">
        <f t="shared" si="29"/>
        <v>7.6967099999999995</v>
      </c>
      <c r="H323" s="96">
        <f t="shared" si="30"/>
        <v>39.407155199999998</v>
      </c>
    </row>
    <row r="324" spans="1:45" ht="25.5">
      <c r="B324" s="97" t="s">
        <v>1450</v>
      </c>
      <c r="C324" s="98" t="s">
        <v>1451</v>
      </c>
      <c r="D324" s="99" t="s">
        <v>401</v>
      </c>
      <c r="E324" s="99" t="s">
        <v>112</v>
      </c>
      <c r="F324" s="94">
        <v>16.34</v>
      </c>
      <c r="G324" s="95">
        <f t="shared" si="29"/>
        <v>7.6967099999999995</v>
      </c>
      <c r="H324" s="96">
        <f t="shared" si="30"/>
        <v>125.76424139999999</v>
      </c>
    </row>
    <row r="325" spans="1:45">
      <c r="B325" s="97" t="s">
        <v>1452</v>
      </c>
      <c r="C325" s="98" t="s">
        <v>1453</v>
      </c>
      <c r="D325" s="99" t="s">
        <v>401</v>
      </c>
      <c r="E325" s="99" t="s">
        <v>1454</v>
      </c>
      <c r="F325" s="94">
        <v>4</v>
      </c>
      <c r="G325" s="95">
        <f>45.28*1.2217</f>
        <v>55.318576</v>
      </c>
      <c r="H325" s="96">
        <f t="shared" si="30"/>
        <v>221.274304</v>
      </c>
    </row>
    <row r="326" spans="1:45">
      <c r="B326" s="97" t="s">
        <v>1455</v>
      </c>
      <c r="C326" s="98" t="s">
        <v>1456</v>
      </c>
      <c r="D326" s="99" t="s">
        <v>401</v>
      </c>
      <c r="E326" s="99" t="s">
        <v>37</v>
      </c>
      <c r="F326" s="94">
        <v>4</v>
      </c>
      <c r="G326" s="95">
        <f>49.4*1.2217</f>
        <v>60.351979999999998</v>
      </c>
      <c r="H326" s="96">
        <f t="shared" si="30"/>
        <v>241.40791999999999</v>
      </c>
    </row>
    <row r="327" spans="1:45" ht="25.5">
      <c r="B327" s="97">
        <v>11002</v>
      </c>
      <c r="C327" s="98" t="s">
        <v>1457</v>
      </c>
      <c r="D327" s="99" t="s">
        <v>401</v>
      </c>
      <c r="E327" s="99" t="s">
        <v>112</v>
      </c>
      <c r="F327" s="94">
        <v>0.35</v>
      </c>
      <c r="G327" s="95">
        <v>28.71</v>
      </c>
      <c r="H327" s="96">
        <f t="shared" si="30"/>
        <v>10.048499999999999</v>
      </c>
    </row>
    <row r="328" spans="1:45" ht="38.25">
      <c r="B328" s="97">
        <v>11964</v>
      </c>
      <c r="C328" s="98" t="s">
        <v>1459</v>
      </c>
      <c r="D328" s="99" t="s">
        <v>401</v>
      </c>
      <c r="E328" s="99" t="s">
        <v>37</v>
      </c>
      <c r="F328" s="94">
        <v>3</v>
      </c>
      <c r="G328" s="95">
        <v>2.2599999999999998</v>
      </c>
      <c r="H328" s="96">
        <f t="shared" si="30"/>
        <v>6.7799999999999994</v>
      </c>
    </row>
    <row r="329" spans="1:45" ht="25.5">
      <c r="B329" s="97">
        <v>20259</v>
      </c>
      <c r="C329" s="98" t="s">
        <v>1460</v>
      </c>
      <c r="D329" s="99" t="s">
        <v>401</v>
      </c>
      <c r="E329" s="99" t="s">
        <v>15</v>
      </c>
      <c r="F329" s="94">
        <v>47</v>
      </c>
      <c r="G329" s="95">
        <v>17.34</v>
      </c>
      <c r="H329" s="96">
        <f t="shared" si="30"/>
        <v>814.98</v>
      </c>
    </row>
    <row r="330" spans="1:45" ht="38.25">
      <c r="B330" s="97" t="s">
        <v>1463</v>
      </c>
      <c r="C330" s="98" t="s">
        <v>1464</v>
      </c>
      <c r="D330" s="99" t="s">
        <v>12</v>
      </c>
      <c r="E330" s="99" t="s">
        <v>24</v>
      </c>
      <c r="F330" s="94">
        <v>4.5</v>
      </c>
      <c r="G330" s="95">
        <f>15.79*1.2217</f>
        <v>19.290642999999999</v>
      </c>
      <c r="H330" s="96">
        <f t="shared" si="30"/>
        <v>86.807893499999992</v>
      </c>
    </row>
    <row r="331" spans="1:45" ht="51">
      <c r="B331" s="97">
        <v>7568</v>
      </c>
      <c r="C331" s="98" t="s">
        <v>1465</v>
      </c>
      <c r="D331" s="99" t="s">
        <v>401</v>
      </c>
      <c r="E331" s="99" t="s">
        <v>37</v>
      </c>
      <c r="F331" s="94">
        <v>2</v>
      </c>
      <c r="G331" s="95">
        <v>0.98</v>
      </c>
      <c r="H331" s="96">
        <f t="shared" si="30"/>
        <v>1.96</v>
      </c>
    </row>
    <row r="332" spans="1:45" ht="25.5">
      <c r="B332" s="97" t="s">
        <v>1466</v>
      </c>
      <c r="C332" s="98" t="s">
        <v>1467</v>
      </c>
      <c r="D332" s="99" t="s">
        <v>12</v>
      </c>
      <c r="E332" s="99" t="s">
        <v>15</v>
      </c>
      <c r="F332" s="94">
        <v>1</v>
      </c>
      <c r="G332" s="95">
        <v>98.76</v>
      </c>
      <c r="H332" s="96">
        <f t="shared" si="30"/>
        <v>98.76</v>
      </c>
    </row>
    <row r="333" spans="1:45" ht="25.5">
      <c r="B333" s="97" t="s">
        <v>1356</v>
      </c>
      <c r="C333" s="98" t="s">
        <v>1357</v>
      </c>
      <c r="D333" s="99" t="s">
        <v>12</v>
      </c>
      <c r="E333" s="99" t="s">
        <v>1129</v>
      </c>
      <c r="F333" s="94">
        <v>25.6</v>
      </c>
      <c r="G333" s="95">
        <v>22.06</v>
      </c>
      <c r="H333" s="96">
        <f t="shared" si="30"/>
        <v>564.73599999999999</v>
      </c>
    </row>
    <row r="334" spans="1:45" ht="25.5">
      <c r="B334" s="97" t="s">
        <v>1391</v>
      </c>
      <c r="C334" s="98" t="s">
        <v>1392</v>
      </c>
      <c r="D334" s="99" t="s">
        <v>12</v>
      </c>
      <c r="E334" s="99" t="s">
        <v>1129</v>
      </c>
      <c r="F334" s="94">
        <v>12.8</v>
      </c>
      <c r="G334" s="95">
        <v>24.93</v>
      </c>
      <c r="H334" s="96">
        <f t="shared" si="30"/>
        <v>319.10400000000004</v>
      </c>
    </row>
    <row r="335" spans="1:45" ht="15" customHeight="1">
      <c r="B335" s="636" t="s">
        <v>1232</v>
      </c>
      <c r="C335" s="637"/>
      <c r="D335" s="637"/>
      <c r="E335" s="637"/>
      <c r="F335" s="637"/>
      <c r="G335" s="638"/>
      <c r="H335" s="100">
        <f>SUM(H318:H334)</f>
        <v>3364.0449374</v>
      </c>
    </row>
    <row r="336" spans="1:45" s="172" customFormat="1">
      <c r="A336" s="317"/>
      <c r="B336" s="656"/>
      <c r="C336" s="657"/>
      <c r="D336" s="657"/>
      <c r="E336" s="657"/>
      <c r="F336" s="657"/>
      <c r="G336" s="657"/>
      <c r="H336" s="658"/>
      <c r="I336" s="317"/>
      <c r="J336" s="317"/>
      <c r="K336" s="317"/>
      <c r="L336" s="317"/>
      <c r="M336" s="317"/>
      <c r="N336" s="317"/>
      <c r="O336" s="317"/>
      <c r="P336" s="317"/>
      <c r="Q336" s="317"/>
      <c r="R336" s="317"/>
      <c r="S336" s="317"/>
      <c r="T336" s="317"/>
      <c r="U336" s="317"/>
      <c r="V336" s="317"/>
      <c r="W336" s="317"/>
      <c r="X336" s="317"/>
      <c r="Y336" s="317"/>
      <c r="Z336" s="317"/>
      <c r="AA336" s="317"/>
      <c r="AB336" s="317"/>
      <c r="AC336" s="317"/>
      <c r="AD336" s="317"/>
      <c r="AE336" s="317"/>
      <c r="AF336" s="317"/>
      <c r="AG336" s="317"/>
      <c r="AH336" s="317"/>
      <c r="AI336" s="317"/>
      <c r="AJ336" s="317"/>
      <c r="AK336" s="317"/>
      <c r="AL336" s="317"/>
      <c r="AM336" s="317"/>
      <c r="AN336" s="317"/>
      <c r="AO336" s="317"/>
      <c r="AP336" s="317"/>
      <c r="AQ336" s="317"/>
      <c r="AR336" s="317"/>
      <c r="AS336" s="317"/>
    </row>
    <row r="337" spans="2:8" ht="38.25">
      <c r="B337" s="139" t="s">
        <v>1990</v>
      </c>
      <c r="C337" s="140" t="s">
        <v>1828</v>
      </c>
      <c r="D337" s="141" t="s">
        <v>12</v>
      </c>
      <c r="E337" s="141" t="s">
        <v>37</v>
      </c>
      <c r="F337" s="142"/>
      <c r="G337" s="143"/>
      <c r="H337" s="144"/>
    </row>
    <row r="338" spans="2:8" ht="25.5">
      <c r="B338" s="145" t="s">
        <v>1436</v>
      </c>
      <c r="C338" s="98" t="s">
        <v>1437</v>
      </c>
      <c r="D338" s="99" t="s">
        <v>401</v>
      </c>
      <c r="E338" s="99" t="s">
        <v>112</v>
      </c>
      <c r="F338" s="94">
        <v>32.200000000000003</v>
      </c>
      <c r="G338" s="95">
        <f t="shared" ref="G338:G345" si="31">6.3*1.2217</f>
        <v>7.6967099999999995</v>
      </c>
      <c r="H338" s="147">
        <f>F338*G338</f>
        <v>247.83406200000002</v>
      </c>
    </row>
    <row r="339" spans="2:8" ht="25.5">
      <c r="B339" s="145" t="s">
        <v>1438</v>
      </c>
      <c r="C339" s="98" t="s">
        <v>1439</v>
      </c>
      <c r="D339" s="99" t="s">
        <v>401</v>
      </c>
      <c r="E339" s="99" t="s">
        <v>112</v>
      </c>
      <c r="F339" s="94">
        <v>44.4</v>
      </c>
      <c r="G339" s="95">
        <f t="shared" si="31"/>
        <v>7.6967099999999995</v>
      </c>
      <c r="H339" s="147">
        <f t="shared" ref="H339:H354" si="32">F339*G339</f>
        <v>341.73392399999994</v>
      </c>
    </row>
    <row r="340" spans="2:8" ht="25.5">
      <c r="B340" s="145" t="s">
        <v>1440</v>
      </c>
      <c r="C340" s="98" t="s">
        <v>1441</v>
      </c>
      <c r="D340" s="99" t="s">
        <v>401</v>
      </c>
      <c r="E340" s="99" t="s">
        <v>112</v>
      </c>
      <c r="F340" s="94">
        <v>13.38</v>
      </c>
      <c r="G340" s="95">
        <f t="shared" si="31"/>
        <v>7.6967099999999995</v>
      </c>
      <c r="H340" s="147">
        <f t="shared" si="32"/>
        <v>102.9819798</v>
      </c>
    </row>
    <row r="341" spans="2:8" ht="25.5">
      <c r="B341" s="145" t="s">
        <v>1442</v>
      </c>
      <c r="C341" s="98" t="s">
        <v>1443</v>
      </c>
      <c r="D341" s="99" t="s">
        <v>401</v>
      </c>
      <c r="E341" s="99" t="s">
        <v>112</v>
      </c>
      <c r="F341" s="94">
        <v>48.78</v>
      </c>
      <c r="G341" s="95">
        <f t="shared" si="31"/>
        <v>7.6967099999999995</v>
      </c>
      <c r="H341" s="147">
        <f t="shared" si="32"/>
        <v>375.44551379999996</v>
      </c>
    </row>
    <row r="342" spans="2:8" ht="25.5">
      <c r="B342" s="145" t="s">
        <v>1444</v>
      </c>
      <c r="C342" s="98" t="s">
        <v>1445</v>
      </c>
      <c r="D342" s="99" t="s">
        <v>401</v>
      </c>
      <c r="E342" s="99" t="s">
        <v>112</v>
      </c>
      <c r="F342" s="94">
        <v>8.6</v>
      </c>
      <c r="G342" s="95">
        <f t="shared" si="31"/>
        <v>7.6967099999999995</v>
      </c>
      <c r="H342" s="147">
        <f t="shared" si="32"/>
        <v>66.191705999999996</v>
      </c>
    </row>
    <row r="343" spans="2:8" ht="25.5">
      <c r="B343" s="145" t="s">
        <v>1446</v>
      </c>
      <c r="C343" s="98" t="s">
        <v>1447</v>
      </c>
      <c r="D343" s="99" t="s">
        <v>401</v>
      </c>
      <c r="E343" s="99" t="s">
        <v>112</v>
      </c>
      <c r="F343" s="94">
        <v>15.48</v>
      </c>
      <c r="G343" s="95">
        <f t="shared" si="31"/>
        <v>7.6967099999999995</v>
      </c>
      <c r="H343" s="147">
        <f t="shared" si="32"/>
        <v>119.1450708</v>
      </c>
    </row>
    <row r="344" spans="2:8" ht="25.5">
      <c r="B344" s="145" t="s">
        <v>1448</v>
      </c>
      <c r="C344" s="98" t="s">
        <v>1449</v>
      </c>
      <c r="D344" s="99" t="s">
        <v>401</v>
      </c>
      <c r="E344" s="99" t="s">
        <v>112</v>
      </c>
      <c r="F344" s="94">
        <v>6.59</v>
      </c>
      <c r="G344" s="95">
        <f t="shared" si="31"/>
        <v>7.6967099999999995</v>
      </c>
      <c r="H344" s="147">
        <f t="shared" si="32"/>
        <v>50.721318899999993</v>
      </c>
    </row>
    <row r="345" spans="2:8" ht="25.5">
      <c r="B345" s="145" t="s">
        <v>1450</v>
      </c>
      <c r="C345" s="98" t="s">
        <v>1451</v>
      </c>
      <c r="D345" s="99" t="s">
        <v>401</v>
      </c>
      <c r="E345" s="99" t="s">
        <v>112</v>
      </c>
      <c r="F345" s="94">
        <v>30.16</v>
      </c>
      <c r="G345" s="95">
        <f t="shared" si="31"/>
        <v>7.6967099999999995</v>
      </c>
      <c r="H345" s="147">
        <f t="shared" si="32"/>
        <v>232.13277359999998</v>
      </c>
    </row>
    <row r="346" spans="2:8">
      <c r="B346" s="145" t="s">
        <v>1452</v>
      </c>
      <c r="C346" s="98" t="s">
        <v>1453</v>
      </c>
      <c r="D346" s="99" t="s">
        <v>401</v>
      </c>
      <c r="E346" s="99" t="s">
        <v>1454</v>
      </c>
      <c r="F346" s="94">
        <v>6</v>
      </c>
      <c r="G346" s="95">
        <f>45.28*1.2217</f>
        <v>55.318576</v>
      </c>
      <c r="H346" s="147">
        <f t="shared" si="32"/>
        <v>331.91145599999999</v>
      </c>
    </row>
    <row r="347" spans="2:8">
      <c r="B347" s="145" t="s">
        <v>1455</v>
      </c>
      <c r="C347" s="98" t="s">
        <v>1456</v>
      </c>
      <c r="D347" s="99" t="s">
        <v>401</v>
      </c>
      <c r="E347" s="99" t="s">
        <v>37</v>
      </c>
      <c r="F347" s="94">
        <v>6</v>
      </c>
      <c r="G347" s="95">
        <f>49.4*1.2217</f>
        <v>60.351979999999998</v>
      </c>
      <c r="H347" s="147">
        <f t="shared" si="32"/>
        <v>362.11187999999999</v>
      </c>
    </row>
    <row r="348" spans="2:8" ht="25.5">
      <c r="B348" s="145">
        <v>11002</v>
      </c>
      <c r="C348" s="98" t="s">
        <v>1457</v>
      </c>
      <c r="D348" s="99" t="s">
        <v>401</v>
      </c>
      <c r="E348" s="99" t="s">
        <v>112</v>
      </c>
      <c r="F348" s="94">
        <v>1.2</v>
      </c>
      <c r="G348" s="95">
        <v>28.71</v>
      </c>
      <c r="H348" s="147">
        <f t="shared" si="32"/>
        <v>34.451999999999998</v>
      </c>
    </row>
    <row r="349" spans="2:8" ht="38.25">
      <c r="B349" s="145">
        <v>11964</v>
      </c>
      <c r="C349" s="98" t="s">
        <v>1459</v>
      </c>
      <c r="D349" s="99" t="s">
        <v>401</v>
      </c>
      <c r="E349" s="99" t="s">
        <v>37</v>
      </c>
      <c r="F349" s="94">
        <v>5</v>
      </c>
      <c r="G349" s="95">
        <v>2.2599999999999998</v>
      </c>
      <c r="H349" s="147">
        <f t="shared" si="32"/>
        <v>11.299999999999999</v>
      </c>
    </row>
    <row r="350" spans="2:8" ht="25.5">
      <c r="B350" s="145">
        <v>20259</v>
      </c>
      <c r="C350" s="98" t="s">
        <v>1460</v>
      </c>
      <c r="D350" s="99" t="s">
        <v>401</v>
      </c>
      <c r="E350" s="99" t="s">
        <v>15</v>
      </c>
      <c r="F350" s="94">
        <v>36</v>
      </c>
      <c r="G350" s="95">
        <v>17.34</v>
      </c>
      <c r="H350" s="147">
        <f t="shared" si="32"/>
        <v>624.24</v>
      </c>
    </row>
    <row r="351" spans="2:8" ht="38.25">
      <c r="B351" s="145" t="s">
        <v>1463</v>
      </c>
      <c r="C351" s="98" t="s">
        <v>1464</v>
      </c>
      <c r="D351" s="99" t="s">
        <v>12</v>
      </c>
      <c r="E351" s="99" t="s">
        <v>24</v>
      </c>
      <c r="F351" s="94">
        <v>10.26</v>
      </c>
      <c r="G351" s="95">
        <f>15.79*1.2217</f>
        <v>19.290642999999999</v>
      </c>
      <c r="H351" s="147">
        <f t="shared" si="32"/>
        <v>197.92199717999998</v>
      </c>
    </row>
    <row r="352" spans="2:8" ht="51">
      <c r="B352" s="145">
        <v>7568</v>
      </c>
      <c r="C352" s="98" t="s">
        <v>1465</v>
      </c>
      <c r="D352" s="99" t="s">
        <v>401</v>
      </c>
      <c r="E352" s="99" t="s">
        <v>37</v>
      </c>
      <c r="F352" s="94">
        <v>4</v>
      </c>
      <c r="G352" s="95">
        <v>0.98</v>
      </c>
      <c r="H352" s="147">
        <f t="shared" si="32"/>
        <v>3.92</v>
      </c>
    </row>
    <row r="353" spans="2:8" ht="25.5">
      <c r="B353" s="145" t="s">
        <v>1356</v>
      </c>
      <c r="C353" s="98" t="s">
        <v>1357</v>
      </c>
      <c r="D353" s="99" t="s">
        <v>12</v>
      </c>
      <c r="E353" s="99" t="s">
        <v>1129</v>
      </c>
      <c r="F353" s="94">
        <v>28.6</v>
      </c>
      <c r="G353" s="95">
        <v>22.06</v>
      </c>
      <c r="H353" s="147">
        <f t="shared" si="32"/>
        <v>630.91599999999994</v>
      </c>
    </row>
    <row r="354" spans="2:8" ht="25.5">
      <c r="B354" s="145" t="s">
        <v>1391</v>
      </c>
      <c r="C354" s="98" t="s">
        <v>1392</v>
      </c>
      <c r="D354" s="99" t="s">
        <v>12</v>
      </c>
      <c r="E354" s="99" t="s">
        <v>1129</v>
      </c>
      <c r="F354" s="94">
        <v>14.3</v>
      </c>
      <c r="G354" s="95">
        <v>24.93</v>
      </c>
      <c r="H354" s="147">
        <f t="shared" si="32"/>
        <v>356.49900000000002</v>
      </c>
    </row>
    <row r="355" spans="2:8" ht="15" customHeight="1">
      <c r="B355" s="630" t="s">
        <v>1232</v>
      </c>
      <c r="C355" s="631"/>
      <c r="D355" s="631"/>
      <c r="E355" s="631"/>
      <c r="F355" s="631"/>
      <c r="G355" s="632"/>
      <c r="H355" s="148">
        <f>SUM(H338:H354)</f>
        <v>4089.4586820799996</v>
      </c>
    </row>
    <row r="356" spans="2:8">
      <c r="B356" s="621"/>
      <c r="C356" s="622"/>
      <c r="D356" s="622"/>
      <c r="E356" s="622"/>
      <c r="F356" s="622"/>
      <c r="G356" s="622"/>
      <c r="H356" s="623"/>
    </row>
    <row r="357" spans="2:8" ht="38.25">
      <c r="B357" s="139" t="s">
        <v>1991</v>
      </c>
      <c r="C357" s="140" t="s">
        <v>1829</v>
      </c>
      <c r="D357" s="141" t="s">
        <v>12</v>
      </c>
      <c r="E357" s="141" t="s">
        <v>37</v>
      </c>
      <c r="F357" s="142"/>
      <c r="G357" s="143"/>
      <c r="H357" s="144"/>
    </row>
    <row r="358" spans="2:8" ht="25.5">
      <c r="B358" s="145" t="s">
        <v>1436</v>
      </c>
      <c r="C358" s="98" t="s">
        <v>1437</v>
      </c>
      <c r="D358" s="99" t="s">
        <v>401</v>
      </c>
      <c r="E358" s="99" t="s">
        <v>112</v>
      </c>
      <c r="F358" s="94">
        <v>32.200000000000003</v>
      </c>
      <c r="G358" s="95">
        <f t="shared" ref="G358:G365" si="33">6.3*1.2217</f>
        <v>7.6967099999999995</v>
      </c>
      <c r="H358" s="147">
        <f>F358*G358</f>
        <v>247.83406200000002</v>
      </c>
    </row>
    <row r="359" spans="2:8" ht="25.5">
      <c r="B359" s="145" t="s">
        <v>1438</v>
      </c>
      <c r="C359" s="98" t="s">
        <v>1439</v>
      </c>
      <c r="D359" s="99" t="s">
        <v>401</v>
      </c>
      <c r="E359" s="99" t="s">
        <v>112</v>
      </c>
      <c r="F359" s="94">
        <v>44.4</v>
      </c>
      <c r="G359" s="95">
        <f t="shared" si="33"/>
        <v>7.6967099999999995</v>
      </c>
      <c r="H359" s="147">
        <f t="shared" ref="H359:H374" si="34">F359*G359</f>
        <v>341.73392399999994</v>
      </c>
    </row>
    <row r="360" spans="2:8" ht="25.5">
      <c r="B360" s="145" t="s">
        <v>1440</v>
      </c>
      <c r="C360" s="98" t="s">
        <v>1441</v>
      </c>
      <c r="D360" s="99" t="s">
        <v>401</v>
      </c>
      <c r="E360" s="99" t="s">
        <v>112</v>
      </c>
      <c r="F360" s="94">
        <v>13.38</v>
      </c>
      <c r="G360" s="95">
        <f t="shared" si="33"/>
        <v>7.6967099999999995</v>
      </c>
      <c r="H360" s="147">
        <f t="shared" si="34"/>
        <v>102.9819798</v>
      </c>
    </row>
    <row r="361" spans="2:8" ht="25.5">
      <c r="B361" s="145" t="s">
        <v>1442</v>
      </c>
      <c r="C361" s="98" t="s">
        <v>1443</v>
      </c>
      <c r="D361" s="99" t="s">
        <v>401</v>
      </c>
      <c r="E361" s="99" t="s">
        <v>112</v>
      </c>
      <c r="F361" s="94">
        <v>48.78</v>
      </c>
      <c r="G361" s="95">
        <f t="shared" si="33"/>
        <v>7.6967099999999995</v>
      </c>
      <c r="H361" s="147">
        <f>F361*G361</f>
        <v>375.44551379999996</v>
      </c>
    </row>
    <row r="362" spans="2:8" ht="25.5">
      <c r="B362" s="145" t="s">
        <v>1444</v>
      </c>
      <c r="C362" s="98" t="s">
        <v>1445</v>
      </c>
      <c r="D362" s="99" t="s">
        <v>401</v>
      </c>
      <c r="E362" s="99" t="s">
        <v>112</v>
      </c>
      <c r="F362" s="94">
        <v>8.6</v>
      </c>
      <c r="G362" s="95">
        <f t="shared" si="33"/>
        <v>7.6967099999999995</v>
      </c>
      <c r="H362" s="147">
        <f t="shared" si="34"/>
        <v>66.191705999999996</v>
      </c>
    </row>
    <row r="363" spans="2:8" ht="25.5">
      <c r="B363" s="145" t="s">
        <v>1446</v>
      </c>
      <c r="C363" s="98" t="s">
        <v>1447</v>
      </c>
      <c r="D363" s="99" t="s">
        <v>401</v>
      </c>
      <c r="E363" s="99" t="s">
        <v>112</v>
      </c>
      <c r="F363" s="94">
        <v>15.48</v>
      </c>
      <c r="G363" s="95">
        <f t="shared" si="33"/>
        <v>7.6967099999999995</v>
      </c>
      <c r="H363" s="147">
        <f t="shared" si="34"/>
        <v>119.1450708</v>
      </c>
    </row>
    <row r="364" spans="2:8" ht="25.5">
      <c r="B364" s="145" t="s">
        <v>1448</v>
      </c>
      <c r="C364" s="98" t="s">
        <v>1449</v>
      </c>
      <c r="D364" s="99" t="s">
        <v>401</v>
      </c>
      <c r="E364" s="99" t="s">
        <v>112</v>
      </c>
      <c r="F364" s="94">
        <v>6.59</v>
      </c>
      <c r="G364" s="95">
        <f t="shared" si="33"/>
        <v>7.6967099999999995</v>
      </c>
      <c r="H364" s="147">
        <f t="shared" si="34"/>
        <v>50.721318899999993</v>
      </c>
    </row>
    <row r="365" spans="2:8" ht="25.5">
      <c r="B365" s="145" t="s">
        <v>1450</v>
      </c>
      <c r="C365" s="98" t="s">
        <v>1451</v>
      </c>
      <c r="D365" s="99" t="s">
        <v>401</v>
      </c>
      <c r="E365" s="99" t="s">
        <v>112</v>
      </c>
      <c r="F365" s="94">
        <v>30.16</v>
      </c>
      <c r="G365" s="95">
        <f t="shared" si="33"/>
        <v>7.6967099999999995</v>
      </c>
      <c r="H365" s="147">
        <f t="shared" si="34"/>
        <v>232.13277359999998</v>
      </c>
    </row>
    <row r="366" spans="2:8">
      <c r="B366" s="145" t="s">
        <v>1452</v>
      </c>
      <c r="C366" s="98" t="s">
        <v>1453</v>
      </c>
      <c r="D366" s="99" t="s">
        <v>401</v>
      </c>
      <c r="E366" s="99" t="s">
        <v>1454</v>
      </c>
      <c r="F366" s="94">
        <v>6</v>
      </c>
      <c r="G366" s="95">
        <f>45.28*1.2217</f>
        <v>55.318576</v>
      </c>
      <c r="H366" s="147">
        <f t="shared" si="34"/>
        <v>331.91145599999999</v>
      </c>
    </row>
    <row r="367" spans="2:8">
      <c r="B367" s="145" t="s">
        <v>1455</v>
      </c>
      <c r="C367" s="98" t="s">
        <v>1456</v>
      </c>
      <c r="D367" s="99" t="s">
        <v>401</v>
      </c>
      <c r="E367" s="99" t="s">
        <v>37</v>
      </c>
      <c r="F367" s="94">
        <v>6</v>
      </c>
      <c r="G367" s="95">
        <f>49.4*1.2217</f>
        <v>60.351979999999998</v>
      </c>
      <c r="H367" s="147">
        <f t="shared" si="34"/>
        <v>362.11187999999999</v>
      </c>
    </row>
    <row r="368" spans="2:8" ht="25.5">
      <c r="B368" s="145">
        <v>11002</v>
      </c>
      <c r="C368" s="98" t="s">
        <v>1457</v>
      </c>
      <c r="D368" s="99" t="s">
        <v>401</v>
      </c>
      <c r="E368" s="99" t="s">
        <v>112</v>
      </c>
      <c r="F368" s="94">
        <v>1.2</v>
      </c>
      <c r="G368" s="95">
        <v>28.71</v>
      </c>
      <c r="H368" s="147">
        <f t="shared" si="34"/>
        <v>34.451999999999998</v>
      </c>
    </row>
    <row r="369" spans="2:8" ht="38.25">
      <c r="B369" s="145">
        <v>11964</v>
      </c>
      <c r="C369" s="98" t="s">
        <v>1459</v>
      </c>
      <c r="D369" s="99" t="s">
        <v>401</v>
      </c>
      <c r="E369" s="99" t="s">
        <v>37</v>
      </c>
      <c r="F369" s="94">
        <v>5</v>
      </c>
      <c r="G369" s="95">
        <v>2.2599999999999998</v>
      </c>
      <c r="H369" s="147">
        <f t="shared" si="34"/>
        <v>11.299999999999999</v>
      </c>
    </row>
    <row r="370" spans="2:8" ht="25.5">
      <c r="B370" s="145">
        <v>20259</v>
      </c>
      <c r="C370" s="98" t="s">
        <v>1460</v>
      </c>
      <c r="D370" s="99" t="s">
        <v>401</v>
      </c>
      <c r="E370" s="99" t="s">
        <v>15</v>
      </c>
      <c r="F370" s="94">
        <v>36</v>
      </c>
      <c r="G370" s="95">
        <v>17.34</v>
      </c>
      <c r="H370" s="147">
        <f t="shared" si="34"/>
        <v>624.24</v>
      </c>
    </row>
    <row r="371" spans="2:8" ht="38.25">
      <c r="B371" s="145" t="s">
        <v>1463</v>
      </c>
      <c r="C371" s="98" t="s">
        <v>1464</v>
      </c>
      <c r="D371" s="99" t="s">
        <v>12</v>
      </c>
      <c r="E371" s="99" t="s">
        <v>24</v>
      </c>
      <c r="F371" s="94">
        <v>10.26</v>
      </c>
      <c r="G371" s="95">
        <f>15.79*1.2217</f>
        <v>19.290642999999999</v>
      </c>
      <c r="H371" s="147">
        <f t="shared" si="34"/>
        <v>197.92199717999998</v>
      </c>
    </row>
    <row r="372" spans="2:8" ht="51">
      <c r="B372" s="145">
        <v>7568</v>
      </c>
      <c r="C372" s="98" t="s">
        <v>1465</v>
      </c>
      <c r="D372" s="99" t="s">
        <v>401</v>
      </c>
      <c r="E372" s="99" t="s">
        <v>37</v>
      </c>
      <c r="F372" s="94">
        <v>4</v>
      </c>
      <c r="G372" s="95">
        <v>0.98</v>
      </c>
      <c r="H372" s="147">
        <f t="shared" si="34"/>
        <v>3.92</v>
      </c>
    </row>
    <row r="373" spans="2:8" ht="25.5">
      <c r="B373" s="145" t="s">
        <v>1356</v>
      </c>
      <c r="C373" s="98" t="s">
        <v>1357</v>
      </c>
      <c r="D373" s="99" t="s">
        <v>12</v>
      </c>
      <c r="E373" s="99" t="s">
        <v>1129</v>
      </c>
      <c r="F373" s="94">
        <v>28.6</v>
      </c>
      <c r="G373" s="95">
        <v>22.06</v>
      </c>
      <c r="H373" s="147">
        <f t="shared" si="34"/>
        <v>630.91599999999994</v>
      </c>
    </row>
    <row r="374" spans="2:8" ht="25.5">
      <c r="B374" s="145" t="s">
        <v>1391</v>
      </c>
      <c r="C374" s="98" t="s">
        <v>1392</v>
      </c>
      <c r="D374" s="99" t="s">
        <v>12</v>
      </c>
      <c r="E374" s="99" t="s">
        <v>1129</v>
      </c>
      <c r="F374" s="94">
        <v>14.3</v>
      </c>
      <c r="G374" s="95">
        <v>24.93</v>
      </c>
      <c r="H374" s="147">
        <f t="shared" si="34"/>
        <v>356.49900000000002</v>
      </c>
    </row>
    <row r="375" spans="2:8">
      <c r="B375" s="630" t="s">
        <v>1232</v>
      </c>
      <c r="C375" s="631"/>
      <c r="D375" s="631"/>
      <c r="E375" s="631"/>
      <c r="F375" s="631"/>
      <c r="G375" s="632"/>
      <c r="H375" s="148">
        <f>SUM(H358:H374)</f>
        <v>4089.4586820799996</v>
      </c>
    </row>
    <row r="376" spans="2:8">
      <c r="B376" s="664"/>
      <c r="C376" s="665"/>
      <c r="D376" s="665"/>
      <c r="E376" s="665"/>
      <c r="F376" s="665"/>
      <c r="G376" s="665"/>
      <c r="H376" s="666"/>
    </row>
    <row r="377" spans="2:8" ht="38.25">
      <c r="B377" s="139" t="s">
        <v>1992</v>
      </c>
      <c r="C377" s="140" t="s">
        <v>1830</v>
      </c>
      <c r="D377" s="141" t="s">
        <v>12</v>
      </c>
      <c r="E377" s="141" t="s">
        <v>37</v>
      </c>
      <c r="F377" s="142"/>
      <c r="G377" s="143"/>
      <c r="H377" s="144"/>
    </row>
    <row r="378" spans="2:8" ht="25.5">
      <c r="B378" s="145" t="s">
        <v>1438</v>
      </c>
      <c r="C378" s="98" t="s">
        <v>1439</v>
      </c>
      <c r="D378" s="99" t="s">
        <v>401</v>
      </c>
      <c r="E378" s="99" t="s">
        <v>112</v>
      </c>
      <c r="F378" s="94">
        <v>22.2</v>
      </c>
      <c r="G378" s="95">
        <f t="shared" ref="G378:G384" si="35">6.3*1.2217</f>
        <v>7.6967099999999995</v>
      </c>
      <c r="H378" s="147">
        <f t="shared" ref="H378:H392" si="36">F378*G378</f>
        <v>170.86696199999997</v>
      </c>
    </row>
    <row r="379" spans="2:8" ht="25.5">
      <c r="B379" s="145" t="s">
        <v>1440</v>
      </c>
      <c r="C379" s="98" t="s">
        <v>1441</v>
      </c>
      <c r="D379" s="99" t="s">
        <v>401</v>
      </c>
      <c r="E379" s="99" t="s">
        <v>112</v>
      </c>
      <c r="F379" s="94">
        <v>6.69</v>
      </c>
      <c r="G379" s="95">
        <f t="shared" si="35"/>
        <v>7.6967099999999995</v>
      </c>
      <c r="H379" s="147">
        <f t="shared" si="36"/>
        <v>51.490989900000002</v>
      </c>
    </row>
    <row r="380" spans="2:8" ht="25.5">
      <c r="B380" s="145" t="s">
        <v>1442</v>
      </c>
      <c r="C380" s="98" t="s">
        <v>1443</v>
      </c>
      <c r="D380" s="99" t="s">
        <v>401</v>
      </c>
      <c r="E380" s="99" t="s">
        <v>112</v>
      </c>
      <c r="F380" s="94">
        <v>35.96</v>
      </c>
      <c r="G380" s="95">
        <f t="shared" si="35"/>
        <v>7.6967099999999995</v>
      </c>
      <c r="H380" s="147">
        <f t="shared" si="36"/>
        <v>276.77369160000001</v>
      </c>
    </row>
    <row r="381" spans="2:8" ht="25.5">
      <c r="B381" s="145" t="s">
        <v>1444</v>
      </c>
      <c r="C381" s="98" t="s">
        <v>1445</v>
      </c>
      <c r="D381" s="99" t="s">
        <v>401</v>
      </c>
      <c r="E381" s="99" t="s">
        <v>112</v>
      </c>
      <c r="F381" s="94">
        <v>4.45</v>
      </c>
      <c r="G381" s="95">
        <f t="shared" si="35"/>
        <v>7.6967099999999995</v>
      </c>
      <c r="H381" s="147">
        <f t="shared" si="36"/>
        <v>34.250359500000002</v>
      </c>
    </row>
    <row r="382" spans="2:8" ht="25.5">
      <c r="B382" s="145" t="s">
        <v>1446</v>
      </c>
      <c r="C382" s="98" t="s">
        <v>1447</v>
      </c>
      <c r="D382" s="99" t="s">
        <v>401</v>
      </c>
      <c r="E382" s="99" t="s">
        <v>112</v>
      </c>
      <c r="F382" s="94">
        <v>21.41</v>
      </c>
      <c r="G382" s="95">
        <f t="shared" si="35"/>
        <v>7.6967099999999995</v>
      </c>
      <c r="H382" s="147">
        <f t="shared" si="36"/>
        <v>164.7865611</v>
      </c>
    </row>
    <row r="383" spans="2:8" ht="25.5">
      <c r="B383" s="145" t="s">
        <v>1448</v>
      </c>
      <c r="C383" s="98" t="s">
        <v>1449</v>
      </c>
      <c r="D383" s="99" t="s">
        <v>401</v>
      </c>
      <c r="E383" s="99" t="s">
        <v>112</v>
      </c>
      <c r="F383" s="94">
        <v>4.76</v>
      </c>
      <c r="G383" s="95">
        <f t="shared" si="35"/>
        <v>7.6967099999999995</v>
      </c>
      <c r="H383" s="147">
        <f t="shared" si="36"/>
        <v>36.636339599999999</v>
      </c>
    </row>
    <row r="384" spans="2:8" ht="25.5">
      <c r="B384" s="145" t="s">
        <v>1450</v>
      </c>
      <c r="C384" s="98" t="s">
        <v>1451</v>
      </c>
      <c r="D384" s="99" t="s">
        <v>401</v>
      </c>
      <c r="E384" s="99" t="s">
        <v>112</v>
      </c>
      <c r="F384" s="94">
        <v>14.35</v>
      </c>
      <c r="G384" s="95">
        <f t="shared" si="35"/>
        <v>7.6967099999999995</v>
      </c>
      <c r="H384" s="147">
        <f t="shared" si="36"/>
        <v>110.44778849999999</v>
      </c>
    </row>
    <row r="385" spans="2:8">
      <c r="B385" s="145" t="s">
        <v>1452</v>
      </c>
      <c r="C385" s="98" t="s">
        <v>1453</v>
      </c>
      <c r="D385" s="99" t="s">
        <v>401</v>
      </c>
      <c r="E385" s="99" t="s">
        <v>1454</v>
      </c>
      <c r="F385" s="94">
        <v>3</v>
      </c>
      <c r="G385" s="95">
        <f>45.28*1.2217</f>
        <v>55.318576</v>
      </c>
      <c r="H385" s="147">
        <f t="shared" si="36"/>
        <v>165.95572799999999</v>
      </c>
    </row>
    <row r="386" spans="2:8">
      <c r="B386" s="145" t="s">
        <v>1455</v>
      </c>
      <c r="C386" s="98" t="s">
        <v>1456</v>
      </c>
      <c r="D386" s="99" t="s">
        <v>401</v>
      </c>
      <c r="E386" s="99" t="s">
        <v>37</v>
      </c>
      <c r="F386" s="94">
        <v>3</v>
      </c>
      <c r="G386" s="95">
        <f>49.4*1.2217</f>
        <v>60.351979999999998</v>
      </c>
      <c r="H386" s="147">
        <f t="shared" si="36"/>
        <v>181.05593999999999</v>
      </c>
    </row>
    <row r="387" spans="2:8" ht="25.5">
      <c r="B387" s="145">
        <v>11002</v>
      </c>
      <c r="C387" s="98" t="s">
        <v>1457</v>
      </c>
      <c r="D387" s="99" t="s">
        <v>401</v>
      </c>
      <c r="E387" s="99" t="s">
        <v>112</v>
      </c>
      <c r="F387" s="94">
        <v>0.4</v>
      </c>
      <c r="G387" s="95">
        <v>28.71</v>
      </c>
      <c r="H387" s="147">
        <f t="shared" si="36"/>
        <v>11.484000000000002</v>
      </c>
    </row>
    <row r="388" spans="2:8" ht="38.25">
      <c r="B388" s="145">
        <v>11964</v>
      </c>
      <c r="C388" s="98" t="s">
        <v>1459</v>
      </c>
      <c r="D388" s="99" t="s">
        <v>401</v>
      </c>
      <c r="E388" s="99" t="s">
        <v>37</v>
      </c>
      <c r="F388" s="94">
        <v>3</v>
      </c>
      <c r="G388" s="95">
        <v>2.2599999999999998</v>
      </c>
      <c r="H388" s="147">
        <f t="shared" si="36"/>
        <v>6.7799999999999994</v>
      </c>
    </row>
    <row r="389" spans="2:8" ht="25.5">
      <c r="B389" s="145">
        <v>20259</v>
      </c>
      <c r="C389" s="98" t="s">
        <v>1460</v>
      </c>
      <c r="D389" s="99" t="s">
        <v>401</v>
      </c>
      <c r="E389" s="99" t="s">
        <v>15</v>
      </c>
      <c r="F389" s="94">
        <v>24.2</v>
      </c>
      <c r="G389" s="95">
        <v>17.34</v>
      </c>
      <c r="H389" s="147">
        <f t="shared" si="36"/>
        <v>419.62799999999999</v>
      </c>
    </row>
    <row r="390" spans="2:8" ht="38.25">
      <c r="B390" s="145" t="s">
        <v>1463</v>
      </c>
      <c r="C390" s="98" t="s">
        <v>1464</v>
      </c>
      <c r="D390" s="99" t="s">
        <v>12</v>
      </c>
      <c r="E390" s="99" t="s">
        <v>24</v>
      </c>
      <c r="F390" s="94">
        <v>1.8</v>
      </c>
      <c r="G390" s="95">
        <f>15.79*1.2217</f>
        <v>19.290642999999999</v>
      </c>
      <c r="H390" s="147">
        <f t="shared" si="36"/>
        <v>34.723157399999998</v>
      </c>
    </row>
    <row r="391" spans="2:8" ht="25.5">
      <c r="B391" s="145" t="s">
        <v>1356</v>
      </c>
      <c r="C391" s="98" t="s">
        <v>1357</v>
      </c>
      <c r="D391" s="99" t="s">
        <v>12</v>
      </c>
      <c r="E391" s="99" t="s">
        <v>1129</v>
      </c>
      <c r="F391" s="94">
        <v>25.6</v>
      </c>
      <c r="G391" s="95">
        <v>22.06</v>
      </c>
      <c r="H391" s="147">
        <f t="shared" si="36"/>
        <v>564.73599999999999</v>
      </c>
    </row>
    <row r="392" spans="2:8" ht="25.5">
      <c r="B392" s="145" t="s">
        <v>1391</v>
      </c>
      <c r="C392" s="98" t="s">
        <v>1392</v>
      </c>
      <c r="D392" s="99" t="s">
        <v>12</v>
      </c>
      <c r="E392" s="99" t="s">
        <v>1129</v>
      </c>
      <c r="F392" s="94">
        <v>12.8</v>
      </c>
      <c r="G392" s="95">
        <v>24.93</v>
      </c>
      <c r="H392" s="147">
        <f t="shared" si="36"/>
        <v>319.10400000000004</v>
      </c>
    </row>
    <row r="393" spans="2:8" ht="15" customHeight="1">
      <c r="B393" s="630" t="s">
        <v>1232</v>
      </c>
      <c r="C393" s="631"/>
      <c r="D393" s="631"/>
      <c r="E393" s="631"/>
      <c r="F393" s="631"/>
      <c r="G393" s="632"/>
      <c r="H393" s="148">
        <f>SUM(H378:H392)</f>
        <v>2548.7195175999996</v>
      </c>
    </row>
    <row r="394" spans="2:8">
      <c r="B394" s="664"/>
      <c r="C394" s="665"/>
      <c r="D394" s="665"/>
      <c r="E394" s="665"/>
      <c r="F394" s="665"/>
      <c r="G394" s="665"/>
      <c r="H394" s="666"/>
    </row>
    <row r="395" spans="2:8" ht="38.25">
      <c r="B395" s="139" t="s">
        <v>1993</v>
      </c>
      <c r="C395" s="140" t="s">
        <v>1831</v>
      </c>
      <c r="D395" s="141" t="s">
        <v>12</v>
      </c>
      <c r="E395" s="141" t="s">
        <v>37</v>
      </c>
      <c r="F395" s="142"/>
      <c r="G395" s="143"/>
      <c r="H395" s="144"/>
    </row>
    <row r="396" spans="2:8" ht="25.5">
      <c r="B396" s="145" t="s">
        <v>1436</v>
      </c>
      <c r="C396" s="98" t="s">
        <v>1437</v>
      </c>
      <c r="D396" s="99" t="s">
        <v>401</v>
      </c>
      <c r="E396" s="99" t="s">
        <v>112</v>
      </c>
      <c r="F396" s="94">
        <v>21.5</v>
      </c>
      <c r="G396" s="95">
        <f t="shared" ref="G396:G403" si="37">6.3*1.2217</f>
        <v>7.6967099999999995</v>
      </c>
      <c r="H396" s="147">
        <f t="shared" ref="H396:H412" si="38">F396*G396</f>
        <v>165.479265</v>
      </c>
    </row>
    <row r="397" spans="2:8" ht="25.5">
      <c r="B397" s="145" t="s">
        <v>1438</v>
      </c>
      <c r="C397" s="98" t="s">
        <v>1439</v>
      </c>
      <c r="D397" s="99" t="s">
        <v>401</v>
      </c>
      <c r="E397" s="99" t="s">
        <v>112</v>
      </c>
      <c r="F397" s="94">
        <v>29.6</v>
      </c>
      <c r="G397" s="95">
        <f t="shared" si="37"/>
        <v>7.6967099999999995</v>
      </c>
      <c r="H397" s="147">
        <f t="shared" si="38"/>
        <v>227.82261599999998</v>
      </c>
    </row>
    <row r="398" spans="2:8" ht="25.5">
      <c r="B398" s="145" t="s">
        <v>1440</v>
      </c>
      <c r="C398" s="98" t="s">
        <v>1441</v>
      </c>
      <c r="D398" s="99" t="s">
        <v>401</v>
      </c>
      <c r="E398" s="99" t="s">
        <v>112</v>
      </c>
      <c r="F398" s="94">
        <v>9.6</v>
      </c>
      <c r="G398" s="95">
        <f t="shared" si="37"/>
        <v>7.6967099999999995</v>
      </c>
      <c r="H398" s="147">
        <f t="shared" si="38"/>
        <v>73.888415999999992</v>
      </c>
    </row>
    <row r="399" spans="2:8" ht="25.5">
      <c r="B399" s="145" t="s">
        <v>1442</v>
      </c>
      <c r="C399" s="98" t="s">
        <v>1443</v>
      </c>
      <c r="D399" s="99" t="s">
        <v>401</v>
      </c>
      <c r="E399" s="99" t="s">
        <v>112</v>
      </c>
      <c r="F399" s="94">
        <v>34.96</v>
      </c>
      <c r="G399" s="95">
        <f t="shared" si="37"/>
        <v>7.6967099999999995</v>
      </c>
      <c r="H399" s="147">
        <f t="shared" si="38"/>
        <v>269.07698160000001</v>
      </c>
    </row>
    <row r="400" spans="2:8" ht="25.5">
      <c r="B400" s="145" t="s">
        <v>1444</v>
      </c>
      <c r="C400" s="98" t="s">
        <v>1445</v>
      </c>
      <c r="D400" s="99" t="s">
        <v>401</v>
      </c>
      <c r="E400" s="99" t="s">
        <v>112</v>
      </c>
      <c r="F400" s="94">
        <v>6.2</v>
      </c>
      <c r="G400" s="95">
        <f t="shared" si="37"/>
        <v>7.6967099999999995</v>
      </c>
      <c r="H400" s="147">
        <f t="shared" si="38"/>
        <v>47.719601999999995</v>
      </c>
    </row>
    <row r="401" spans="2:8" ht="25.5">
      <c r="B401" s="145" t="s">
        <v>1446</v>
      </c>
      <c r="C401" s="98" t="s">
        <v>1447</v>
      </c>
      <c r="D401" s="99" t="s">
        <v>401</v>
      </c>
      <c r="E401" s="99" t="s">
        <v>112</v>
      </c>
      <c r="F401" s="94">
        <v>11.1</v>
      </c>
      <c r="G401" s="95">
        <f t="shared" si="37"/>
        <v>7.6967099999999995</v>
      </c>
      <c r="H401" s="147">
        <f t="shared" si="38"/>
        <v>85.433480999999986</v>
      </c>
    </row>
    <row r="402" spans="2:8" ht="25.5">
      <c r="B402" s="145" t="s">
        <v>1448</v>
      </c>
      <c r="C402" s="98" t="s">
        <v>1449</v>
      </c>
      <c r="D402" s="99" t="s">
        <v>401</v>
      </c>
      <c r="E402" s="99" t="s">
        <v>112</v>
      </c>
      <c r="F402" s="94">
        <v>4.67</v>
      </c>
      <c r="G402" s="95">
        <f t="shared" si="37"/>
        <v>7.6967099999999995</v>
      </c>
      <c r="H402" s="147">
        <f t="shared" si="38"/>
        <v>35.943635699999994</v>
      </c>
    </row>
    <row r="403" spans="2:8" ht="25.5">
      <c r="B403" s="145" t="s">
        <v>1450</v>
      </c>
      <c r="C403" s="98" t="s">
        <v>1451</v>
      </c>
      <c r="D403" s="99" t="s">
        <v>401</v>
      </c>
      <c r="E403" s="99" t="s">
        <v>112</v>
      </c>
      <c r="F403" s="94">
        <v>21.6</v>
      </c>
      <c r="G403" s="95">
        <f t="shared" si="37"/>
        <v>7.6967099999999995</v>
      </c>
      <c r="H403" s="147">
        <f t="shared" si="38"/>
        <v>166.24893599999999</v>
      </c>
    </row>
    <row r="404" spans="2:8">
      <c r="B404" s="145" t="s">
        <v>1452</v>
      </c>
      <c r="C404" s="98" t="s">
        <v>1453</v>
      </c>
      <c r="D404" s="99" t="s">
        <v>401</v>
      </c>
      <c r="E404" s="99" t="s">
        <v>1454</v>
      </c>
      <c r="F404" s="94">
        <v>4</v>
      </c>
      <c r="G404" s="95">
        <f>45.28*1.2217</f>
        <v>55.318576</v>
      </c>
      <c r="H404" s="147">
        <f t="shared" si="38"/>
        <v>221.274304</v>
      </c>
    </row>
    <row r="405" spans="2:8">
      <c r="B405" s="145" t="s">
        <v>1455</v>
      </c>
      <c r="C405" s="98" t="s">
        <v>1456</v>
      </c>
      <c r="D405" s="99" t="s">
        <v>401</v>
      </c>
      <c r="E405" s="99" t="s">
        <v>37</v>
      </c>
      <c r="F405" s="94">
        <v>4</v>
      </c>
      <c r="G405" s="95">
        <f>49.4*1.2217</f>
        <v>60.351979999999998</v>
      </c>
      <c r="H405" s="147">
        <f t="shared" si="38"/>
        <v>241.40791999999999</v>
      </c>
    </row>
    <row r="406" spans="2:8" ht="25.5">
      <c r="B406" s="145">
        <v>11002</v>
      </c>
      <c r="C406" s="98" t="s">
        <v>1457</v>
      </c>
      <c r="D406" s="99" t="s">
        <v>401</v>
      </c>
      <c r="E406" s="99" t="s">
        <v>112</v>
      </c>
      <c r="F406" s="94">
        <v>0.86</v>
      </c>
      <c r="G406" s="95">
        <v>28.71</v>
      </c>
      <c r="H406" s="147">
        <f t="shared" si="38"/>
        <v>24.6906</v>
      </c>
    </row>
    <row r="407" spans="2:8" ht="38.25">
      <c r="B407" s="145">
        <v>11964</v>
      </c>
      <c r="C407" s="98" t="s">
        <v>1459</v>
      </c>
      <c r="D407" s="99" t="s">
        <v>401</v>
      </c>
      <c r="E407" s="99" t="s">
        <v>37</v>
      </c>
      <c r="F407" s="94">
        <v>4</v>
      </c>
      <c r="G407" s="95">
        <v>2.2599999999999998</v>
      </c>
      <c r="H407" s="147">
        <f t="shared" si="38"/>
        <v>9.0399999999999991</v>
      </c>
    </row>
    <row r="408" spans="2:8" ht="25.5">
      <c r="B408" s="145">
        <v>20259</v>
      </c>
      <c r="C408" s="98" t="s">
        <v>1460</v>
      </c>
      <c r="D408" s="99" t="s">
        <v>401</v>
      </c>
      <c r="E408" s="99" t="s">
        <v>15</v>
      </c>
      <c r="F408" s="94">
        <v>24</v>
      </c>
      <c r="G408" s="95">
        <v>17.34</v>
      </c>
      <c r="H408" s="147">
        <f t="shared" si="38"/>
        <v>416.15999999999997</v>
      </c>
    </row>
    <row r="409" spans="2:8" ht="38.25">
      <c r="B409" s="145" t="s">
        <v>1463</v>
      </c>
      <c r="C409" s="98" t="s">
        <v>1464</v>
      </c>
      <c r="D409" s="99" t="s">
        <v>12</v>
      </c>
      <c r="E409" s="99" t="s">
        <v>24</v>
      </c>
      <c r="F409" s="94">
        <v>2.4</v>
      </c>
      <c r="G409" s="95">
        <f>15.79*1.2217</f>
        <v>19.290642999999999</v>
      </c>
      <c r="H409" s="147">
        <f t="shared" si="38"/>
        <v>46.2975432</v>
      </c>
    </row>
    <row r="410" spans="2:8" ht="51">
      <c r="B410" s="145">
        <v>7568</v>
      </c>
      <c r="C410" s="98" t="s">
        <v>1465</v>
      </c>
      <c r="D410" s="99" t="s">
        <v>401</v>
      </c>
      <c r="E410" s="99" t="s">
        <v>37</v>
      </c>
      <c r="F410" s="94">
        <v>4</v>
      </c>
      <c r="G410" s="95">
        <v>0.98</v>
      </c>
      <c r="H410" s="147">
        <f t="shared" si="38"/>
        <v>3.92</v>
      </c>
    </row>
    <row r="411" spans="2:8" ht="25.5">
      <c r="B411" s="145" t="s">
        <v>1356</v>
      </c>
      <c r="C411" s="98" t="s">
        <v>1357</v>
      </c>
      <c r="D411" s="99" t="s">
        <v>12</v>
      </c>
      <c r="E411" s="99" t="s">
        <v>1129</v>
      </c>
      <c r="F411" s="94">
        <v>29.8</v>
      </c>
      <c r="G411" s="95">
        <v>22.06</v>
      </c>
      <c r="H411" s="147">
        <f t="shared" si="38"/>
        <v>657.38800000000003</v>
      </c>
    </row>
    <row r="412" spans="2:8" ht="25.5">
      <c r="B412" s="145" t="s">
        <v>1391</v>
      </c>
      <c r="C412" s="98" t="s">
        <v>1392</v>
      </c>
      <c r="D412" s="99" t="s">
        <v>12</v>
      </c>
      <c r="E412" s="99" t="s">
        <v>1129</v>
      </c>
      <c r="F412" s="94">
        <v>15</v>
      </c>
      <c r="G412" s="95">
        <v>24.93</v>
      </c>
      <c r="H412" s="147">
        <f t="shared" si="38"/>
        <v>373.95</v>
      </c>
    </row>
    <row r="413" spans="2:8">
      <c r="B413" s="630" t="s">
        <v>1232</v>
      </c>
      <c r="C413" s="631"/>
      <c r="D413" s="631"/>
      <c r="E413" s="631"/>
      <c r="F413" s="631"/>
      <c r="G413" s="632"/>
      <c r="H413" s="148">
        <f>SUM(H396:H412)</f>
        <v>3065.7413004999999</v>
      </c>
    </row>
    <row r="414" spans="2:8">
      <c r="B414" s="621"/>
      <c r="C414" s="622"/>
      <c r="D414" s="622"/>
      <c r="E414" s="622"/>
      <c r="F414" s="622"/>
      <c r="G414" s="622"/>
      <c r="H414" s="623"/>
    </row>
    <row r="415" spans="2:8" ht="38.25">
      <c r="B415" s="139" t="s">
        <v>1994</v>
      </c>
      <c r="C415" s="140" t="s">
        <v>1832</v>
      </c>
      <c r="D415" s="141" t="s">
        <v>12</v>
      </c>
      <c r="E415" s="141" t="s">
        <v>37</v>
      </c>
      <c r="F415" s="142"/>
      <c r="G415" s="143"/>
      <c r="H415" s="144"/>
    </row>
    <row r="416" spans="2:8" ht="25.5">
      <c r="B416" s="145" t="s">
        <v>1438</v>
      </c>
      <c r="C416" s="98" t="s">
        <v>1439</v>
      </c>
      <c r="D416" s="99" t="s">
        <v>401</v>
      </c>
      <c r="E416" s="99" t="s">
        <v>112</v>
      </c>
      <c r="F416" s="94">
        <v>22.2</v>
      </c>
      <c r="G416" s="95">
        <f t="shared" ref="G416:G422" si="39">6.3*1.2217</f>
        <v>7.6967099999999995</v>
      </c>
      <c r="H416" s="147">
        <f t="shared" ref="H416:H430" si="40">F416*G416</f>
        <v>170.86696199999997</v>
      </c>
    </row>
    <row r="417" spans="2:8" ht="25.5">
      <c r="B417" s="145" t="s">
        <v>1440</v>
      </c>
      <c r="C417" s="98" t="s">
        <v>1441</v>
      </c>
      <c r="D417" s="99" t="s">
        <v>401</v>
      </c>
      <c r="E417" s="99" t="s">
        <v>112</v>
      </c>
      <c r="F417" s="94">
        <v>6.69</v>
      </c>
      <c r="G417" s="95">
        <f t="shared" si="39"/>
        <v>7.6967099999999995</v>
      </c>
      <c r="H417" s="147">
        <f t="shared" si="40"/>
        <v>51.490989900000002</v>
      </c>
    </row>
    <row r="418" spans="2:8" ht="25.5">
      <c r="B418" s="145" t="s">
        <v>1442</v>
      </c>
      <c r="C418" s="98" t="s">
        <v>1443</v>
      </c>
      <c r="D418" s="99" t="s">
        <v>401</v>
      </c>
      <c r="E418" s="99" t="s">
        <v>112</v>
      </c>
      <c r="F418" s="94">
        <v>35.96</v>
      </c>
      <c r="G418" s="95">
        <f t="shared" si="39"/>
        <v>7.6967099999999995</v>
      </c>
      <c r="H418" s="147">
        <f t="shared" si="40"/>
        <v>276.77369160000001</v>
      </c>
    </row>
    <row r="419" spans="2:8" ht="25.5">
      <c r="B419" s="145" t="s">
        <v>1444</v>
      </c>
      <c r="C419" s="98" t="s">
        <v>1445</v>
      </c>
      <c r="D419" s="99" t="s">
        <v>401</v>
      </c>
      <c r="E419" s="99" t="s">
        <v>112</v>
      </c>
      <c r="F419" s="94">
        <v>4.45</v>
      </c>
      <c r="G419" s="95">
        <f t="shared" si="39"/>
        <v>7.6967099999999995</v>
      </c>
      <c r="H419" s="147">
        <f t="shared" si="40"/>
        <v>34.250359500000002</v>
      </c>
    </row>
    <row r="420" spans="2:8" ht="25.5">
      <c r="B420" s="145" t="s">
        <v>1446</v>
      </c>
      <c r="C420" s="98" t="s">
        <v>1447</v>
      </c>
      <c r="D420" s="99" t="s">
        <v>401</v>
      </c>
      <c r="E420" s="99" t="s">
        <v>112</v>
      </c>
      <c r="F420" s="94">
        <v>21.41</v>
      </c>
      <c r="G420" s="95">
        <f t="shared" si="39"/>
        <v>7.6967099999999995</v>
      </c>
      <c r="H420" s="147">
        <f t="shared" si="40"/>
        <v>164.7865611</v>
      </c>
    </row>
    <row r="421" spans="2:8" ht="25.5">
      <c r="B421" s="145" t="s">
        <v>1448</v>
      </c>
      <c r="C421" s="98" t="s">
        <v>1449</v>
      </c>
      <c r="D421" s="99" t="s">
        <v>401</v>
      </c>
      <c r="E421" s="99" t="s">
        <v>112</v>
      </c>
      <c r="F421" s="94">
        <v>4.76</v>
      </c>
      <c r="G421" s="95">
        <f t="shared" si="39"/>
        <v>7.6967099999999995</v>
      </c>
      <c r="H421" s="147">
        <f t="shared" si="40"/>
        <v>36.636339599999999</v>
      </c>
    </row>
    <row r="422" spans="2:8" ht="25.5">
      <c r="B422" s="145" t="s">
        <v>1450</v>
      </c>
      <c r="C422" s="98" t="s">
        <v>1451</v>
      </c>
      <c r="D422" s="99" t="s">
        <v>401</v>
      </c>
      <c r="E422" s="99" t="s">
        <v>112</v>
      </c>
      <c r="F422" s="94">
        <v>14.35</v>
      </c>
      <c r="G422" s="95">
        <f t="shared" si="39"/>
        <v>7.6967099999999995</v>
      </c>
      <c r="H422" s="147">
        <f t="shared" si="40"/>
        <v>110.44778849999999</v>
      </c>
    </row>
    <row r="423" spans="2:8">
      <c r="B423" s="145" t="s">
        <v>1452</v>
      </c>
      <c r="C423" s="98" t="s">
        <v>1453</v>
      </c>
      <c r="D423" s="99" t="s">
        <v>401</v>
      </c>
      <c r="E423" s="99" t="s">
        <v>1454</v>
      </c>
      <c r="F423" s="94">
        <v>3</v>
      </c>
      <c r="G423" s="95">
        <f>45.28*1.2217</f>
        <v>55.318576</v>
      </c>
      <c r="H423" s="147">
        <f t="shared" si="40"/>
        <v>165.95572799999999</v>
      </c>
    </row>
    <row r="424" spans="2:8">
      <c r="B424" s="145" t="s">
        <v>1455</v>
      </c>
      <c r="C424" s="98" t="s">
        <v>1456</v>
      </c>
      <c r="D424" s="99" t="s">
        <v>401</v>
      </c>
      <c r="E424" s="99" t="s">
        <v>37</v>
      </c>
      <c r="F424" s="94">
        <v>3</v>
      </c>
      <c r="G424" s="95">
        <f>49.4*1.2217</f>
        <v>60.351979999999998</v>
      </c>
      <c r="H424" s="147">
        <f t="shared" si="40"/>
        <v>181.05593999999999</v>
      </c>
    </row>
    <row r="425" spans="2:8" ht="25.5">
      <c r="B425" s="145">
        <v>11002</v>
      </c>
      <c r="C425" s="98" t="s">
        <v>1457</v>
      </c>
      <c r="D425" s="99" t="s">
        <v>401</v>
      </c>
      <c r="E425" s="99" t="s">
        <v>112</v>
      </c>
      <c r="F425" s="94">
        <v>0.4</v>
      </c>
      <c r="G425" s="95">
        <v>28.71</v>
      </c>
      <c r="H425" s="147">
        <f t="shared" si="40"/>
        <v>11.484000000000002</v>
      </c>
    </row>
    <row r="426" spans="2:8" ht="38.25">
      <c r="B426" s="145">
        <v>11964</v>
      </c>
      <c r="C426" s="98" t="s">
        <v>1459</v>
      </c>
      <c r="D426" s="99" t="s">
        <v>401</v>
      </c>
      <c r="E426" s="99" t="s">
        <v>37</v>
      </c>
      <c r="F426" s="94">
        <v>3</v>
      </c>
      <c r="G426" s="95">
        <v>2.2599999999999998</v>
      </c>
      <c r="H426" s="147">
        <f t="shared" si="40"/>
        <v>6.7799999999999994</v>
      </c>
    </row>
    <row r="427" spans="2:8" ht="25.5">
      <c r="B427" s="145">
        <v>20259</v>
      </c>
      <c r="C427" s="98" t="s">
        <v>1460</v>
      </c>
      <c r="D427" s="99" t="s">
        <v>401</v>
      </c>
      <c r="E427" s="99" t="s">
        <v>15</v>
      </c>
      <c r="F427" s="94">
        <v>24.2</v>
      </c>
      <c r="G427" s="95">
        <v>17.34</v>
      </c>
      <c r="H427" s="147">
        <f t="shared" si="40"/>
        <v>419.62799999999999</v>
      </c>
    </row>
    <row r="428" spans="2:8" ht="38.25">
      <c r="B428" s="145" t="s">
        <v>1463</v>
      </c>
      <c r="C428" s="98" t="s">
        <v>1464</v>
      </c>
      <c r="D428" s="99" t="s">
        <v>12</v>
      </c>
      <c r="E428" s="99" t="s">
        <v>24</v>
      </c>
      <c r="F428" s="94">
        <v>1.75</v>
      </c>
      <c r="G428" s="95">
        <f>15.79*1.2217</f>
        <v>19.290642999999999</v>
      </c>
      <c r="H428" s="147">
        <f t="shared" si="40"/>
        <v>33.758625250000001</v>
      </c>
    </row>
    <row r="429" spans="2:8" ht="25.5">
      <c r="B429" s="145" t="s">
        <v>1356</v>
      </c>
      <c r="C429" s="98" t="s">
        <v>1357</v>
      </c>
      <c r="D429" s="99" t="s">
        <v>12</v>
      </c>
      <c r="E429" s="99" t="s">
        <v>1129</v>
      </c>
      <c r="F429" s="94">
        <v>25.6</v>
      </c>
      <c r="G429" s="95">
        <v>22.06</v>
      </c>
      <c r="H429" s="147">
        <f t="shared" si="40"/>
        <v>564.73599999999999</v>
      </c>
    </row>
    <row r="430" spans="2:8" ht="25.5">
      <c r="B430" s="145" t="s">
        <v>1391</v>
      </c>
      <c r="C430" s="98" t="s">
        <v>1392</v>
      </c>
      <c r="D430" s="99" t="s">
        <v>12</v>
      </c>
      <c r="E430" s="99" t="s">
        <v>1129</v>
      </c>
      <c r="F430" s="94">
        <v>12.8</v>
      </c>
      <c r="G430" s="95">
        <v>24.93</v>
      </c>
      <c r="H430" s="147">
        <f t="shared" si="40"/>
        <v>319.10400000000004</v>
      </c>
    </row>
    <row r="431" spans="2:8">
      <c r="B431" s="630" t="s">
        <v>1232</v>
      </c>
      <c r="C431" s="631"/>
      <c r="D431" s="631"/>
      <c r="E431" s="631"/>
      <c r="F431" s="631"/>
      <c r="G431" s="632"/>
      <c r="H431" s="148">
        <f>SUM(H416:H430)</f>
        <v>2547.7549854500003</v>
      </c>
    </row>
    <row r="432" spans="2:8">
      <c r="B432" s="621"/>
      <c r="C432" s="622"/>
      <c r="D432" s="622"/>
      <c r="E432" s="622"/>
      <c r="F432" s="622"/>
      <c r="G432" s="622"/>
      <c r="H432" s="623"/>
    </row>
    <row r="433" spans="2:8" ht="51">
      <c r="B433" s="139" t="s">
        <v>1995</v>
      </c>
      <c r="C433" s="140" t="s">
        <v>368</v>
      </c>
      <c r="D433" s="141" t="s">
        <v>12</v>
      </c>
      <c r="E433" s="141" t="s">
        <v>37</v>
      </c>
      <c r="F433" s="142"/>
      <c r="G433" s="143"/>
      <c r="H433" s="144"/>
    </row>
    <row r="434" spans="2:8" ht="25.5">
      <c r="B434" s="145" t="s">
        <v>1436</v>
      </c>
      <c r="C434" s="98" t="s">
        <v>1437</v>
      </c>
      <c r="D434" s="99" t="s">
        <v>401</v>
      </c>
      <c r="E434" s="99" t="s">
        <v>112</v>
      </c>
      <c r="F434" s="94">
        <v>32.200000000000003</v>
      </c>
      <c r="G434" s="95">
        <f t="shared" ref="G434:G441" si="41">6.3*1.2217</f>
        <v>7.6967099999999995</v>
      </c>
      <c r="H434" s="147">
        <f>F434*G434</f>
        <v>247.83406200000002</v>
      </c>
    </row>
    <row r="435" spans="2:8" ht="25.5">
      <c r="B435" s="145" t="s">
        <v>1470</v>
      </c>
      <c r="C435" s="98" t="s">
        <v>1471</v>
      </c>
      <c r="D435" s="99" t="s">
        <v>401</v>
      </c>
      <c r="E435" s="99" t="s">
        <v>112</v>
      </c>
      <c r="F435" s="94">
        <v>28.5</v>
      </c>
      <c r="G435" s="95">
        <f t="shared" si="41"/>
        <v>7.6967099999999995</v>
      </c>
      <c r="H435" s="147">
        <f t="shared" ref="H435:H450" si="42">F435*G435</f>
        <v>219.356235</v>
      </c>
    </row>
    <row r="436" spans="2:8" ht="25.5">
      <c r="B436" s="145" t="s">
        <v>1472</v>
      </c>
      <c r="C436" s="98" t="s">
        <v>1473</v>
      </c>
      <c r="D436" s="99" t="s">
        <v>401</v>
      </c>
      <c r="E436" s="99" t="s">
        <v>112</v>
      </c>
      <c r="F436" s="94">
        <v>14.44</v>
      </c>
      <c r="G436" s="95">
        <f t="shared" si="41"/>
        <v>7.6967099999999995</v>
      </c>
      <c r="H436" s="147">
        <f t="shared" si="42"/>
        <v>111.14049239999999</v>
      </c>
    </row>
    <row r="437" spans="2:8" ht="38.25">
      <c r="B437" s="145" t="s">
        <v>1474</v>
      </c>
      <c r="C437" s="98" t="s">
        <v>1475</v>
      </c>
      <c r="D437" s="99" t="s">
        <v>401</v>
      </c>
      <c r="E437" s="99" t="s">
        <v>112</v>
      </c>
      <c r="F437" s="94">
        <v>42.78</v>
      </c>
      <c r="G437" s="95">
        <f t="shared" si="41"/>
        <v>7.6967099999999995</v>
      </c>
      <c r="H437" s="147">
        <f t="shared" si="42"/>
        <v>329.26525379999998</v>
      </c>
    </row>
    <row r="438" spans="2:8" ht="38.25">
      <c r="B438" s="145" t="s">
        <v>1476</v>
      </c>
      <c r="C438" s="98" t="s">
        <v>1477</v>
      </c>
      <c r="D438" s="99" t="s">
        <v>401</v>
      </c>
      <c r="E438" s="99" t="s">
        <v>112</v>
      </c>
      <c r="F438" s="94">
        <v>6.46</v>
      </c>
      <c r="G438" s="95">
        <f t="shared" si="41"/>
        <v>7.6967099999999995</v>
      </c>
      <c r="H438" s="147">
        <f t="shared" si="42"/>
        <v>49.720746599999998</v>
      </c>
    </row>
    <row r="439" spans="2:8" ht="38.25">
      <c r="B439" s="145" t="s">
        <v>1423</v>
      </c>
      <c r="C439" s="98" t="s">
        <v>1424</v>
      </c>
      <c r="D439" s="99" t="s">
        <v>401</v>
      </c>
      <c r="E439" s="99" t="s">
        <v>112</v>
      </c>
      <c r="F439" s="94">
        <v>5.3</v>
      </c>
      <c r="G439" s="95">
        <f t="shared" si="41"/>
        <v>7.6967099999999995</v>
      </c>
      <c r="H439" s="147">
        <f t="shared" si="42"/>
        <v>40.792562999999994</v>
      </c>
    </row>
    <row r="440" spans="2:8" ht="38.25">
      <c r="B440" s="145" t="s">
        <v>1478</v>
      </c>
      <c r="C440" s="98" t="s">
        <v>1479</v>
      </c>
      <c r="D440" s="99" t="s">
        <v>401</v>
      </c>
      <c r="E440" s="99" t="s">
        <v>112</v>
      </c>
      <c r="F440" s="94">
        <v>11.59</v>
      </c>
      <c r="G440" s="95">
        <f t="shared" si="41"/>
        <v>7.6967099999999995</v>
      </c>
      <c r="H440" s="147">
        <f t="shared" si="42"/>
        <v>89.204868899999994</v>
      </c>
    </row>
    <row r="441" spans="2:8" ht="38.25">
      <c r="B441" s="145" t="s">
        <v>1480</v>
      </c>
      <c r="C441" s="98" t="s">
        <v>1481</v>
      </c>
      <c r="D441" s="99" t="s">
        <v>401</v>
      </c>
      <c r="E441" s="99" t="s">
        <v>112</v>
      </c>
      <c r="F441" s="94">
        <v>2.9369999999999998</v>
      </c>
      <c r="G441" s="95">
        <f t="shared" si="41"/>
        <v>7.6967099999999995</v>
      </c>
      <c r="H441" s="147">
        <f t="shared" si="42"/>
        <v>22.605237269999996</v>
      </c>
    </row>
    <row r="442" spans="2:8" ht="25.5">
      <c r="B442" s="145">
        <v>11002</v>
      </c>
      <c r="C442" s="98" t="s">
        <v>1457</v>
      </c>
      <c r="D442" s="99" t="s">
        <v>401</v>
      </c>
      <c r="E442" s="99" t="s">
        <v>112</v>
      </c>
      <c r="F442" s="94" t="s">
        <v>1280</v>
      </c>
      <c r="G442" s="95">
        <v>28.71</v>
      </c>
      <c r="H442" s="147">
        <f t="shared" si="42"/>
        <v>14.355</v>
      </c>
    </row>
    <row r="443" spans="2:8" ht="38.25">
      <c r="B443" s="145">
        <v>11058</v>
      </c>
      <c r="C443" s="98" t="s">
        <v>1458</v>
      </c>
      <c r="D443" s="99" t="s">
        <v>401</v>
      </c>
      <c r="E443" s="99" t="s">
        <v>37</v>
      </c>
      <c r="F443" s="94">
        <v>16</v>
      </c>
      <c r="G443" s="95">
        <v>0.44</v>
      </c>
      <c r="H443" s="147">
        <f t="shared" si="42"/>
        <v>7.04</v>
      </c>
    </row>
    <row r="444" spans="2:8" ht="25.5">
      <c r="B444" s="145">
        <v>20259</v>
      </c>
      <c r="C444" s="98" t="s">
        <v>1460</v>
      </c>
      <c r="D444" s="99" t="s">
        <v>401</v>
      </c>
      <c r="E444" s="99" t="s">
        <v>15</v>
      </c>
      <c r="F444" s="94">
        <v>5.2</v>
      </c>
      <c r="G444" s="95">
        <v>17.34</v>
      </c>
      <c r="H444" s="147">
        <f t="shared" si="42"/>
        <v>90.168000000000006</v>
      </c>
    </row>
    <row r="445" spans="2:8" ht="63.75">
      <c r="B445" s="145">
        <v>38165</v>
      </c>
      <c r="C445" s="98" t="s">
        <v>1482</v>
      </c>
      <c r="D445" s="99" t="s">
        <v>401</v>
      </c>
      <c r="E445" s="99" t="s">
        <v>663</v>
      </c>
      <c r="F445" s="94">
        <v>1</v>
      </c>
      <c r="G445" s="95">
        <v>67.760000000000005</v>
      </c>
      <c r="H445" s="147">
        <f t="shared" si="42"/>
        <v>67.760000000000005</v>
      </c>
    </row>
    <row r="446" spans="2:8" ht="38.25">
      <c r="B446" s="145">
        <v>40552</v>
      </c>
      <c r="C446" s="98" t="s">
        <v>1462</v>
      </c>
      <c r="D446" s="99" t="s">
        <v>401</v>
      </c>
      <c r="E446" s="99" t="s">
        <v>1398</v>
      </c>
      <c r="F446" s="94" t="s">
        <v>1364</v>
      </c>
      <c r="G446" s="95">
        <v>44.37</v>
      </c>
      <c r="H446" s="147">
        <f t="shared" si="42"/>
        <v>8.8740000000000006</v>
      </c>
    </row>
    <row r="447" spans="2:8" ht="38.25">
      <c r="B447" s="145" t="s">
        <v>1463</v>
      </c>
      <c r="C447" s="98" t="s">
        <v>1464</v>
      </c>
      <c r="D447" s="99" t="s">
        <v>12</v>
      </c>
      <c r="E447" s="99" t="s">
        <v>24</v>
      </c>
      <c r="F447" s="94">
        <v>21</v>
      </c>
      <c r="G447" s="95">
        <f>15.79*1.2217</f>
        <v>19.290642999999999</v>
      </c>
      <c r="H447" s="147">
        <f t="shared" si="42"/>
        <v>405.10350299999999</v>
      </c>
    </row>
    <row r="448" spans="2:8" ht="51">
      <c r="B448" s="145">
        <v>7568</v>
      </c>
      <c r="C448" s="98" t="s">
        <v>1465</v>
      </c>
      <c r="D448" s="99" t="s">
        <v>401</v>
      </c>
      <c r="E448" s="99" t="s">
        <v>37</v>
      </c>
      <c r="F448" s="94">
        <v>6</v>
      </c>
      <c r="G448" s="95">
        <v>0.98</v>
      </c>
      <c r="H448" s="147">
        <f t="shared" si="42"/>
        <v>5.88</v>
      </c>
    </row>
    <row r="449" spans="2:10" ht="25.5">
      <c r="B449" s="145" t="s">
        <v>1356</v>
      </c>
      <c r="C449" s="98" t="s">
        <v>1357</v>
      </c>
      <c r="D449" s="99" t="s">
        <v>12</v>
      </c>
      <c r="E449" s="99" t="s">
        <v>1129</v>
      </c>
      <c r="F449" s="94">
        <v>36</v>
      </c>
      <c r="G449" s="95">
        <v>22.06</v>
      </c>
      <c r="H449" s="147">
        <f t="shared" si="42"/>
        <v>794.16</v>
      </c>
    </row>
    <row r="450" spans="2:10" ht="25.5">
      <c r="B450" s="145" t="s">
        <v>1391</v>
      </c>
      <c r="C450" s="98" t="s">
        <v>1392</v>
      </c>
      <c r="D450" s="99" t="s">
        <v>12</v>
      </c>
      <c r="E450" s="99" t="s">
        <v>1129</v>
      </c>
      <c r="F450" s="94">
        <v>36</v>
      </c>
      <c r="G450" s="95">
        <v>24.93</v>
      </c>
      <c r="H450" s="147">
        <f t="shared" si="42"/>
        <v>897.48</v>
      </c>
    </row>
    <row r="451" spans="2:10">
      <c r="B451" s="630" t="s">
        <v>1232</v>
      </c>
      <c r="C451" s="631"/>
      <c r="D451" s="631"/>
      <c r="E451" s="631"/>
      <c r="F451" s="631"/>
      <c r="G451" s="632"/>
      <c r="H451" s="148">
        <f>SUM(H434:H450)</f>
        <v>3400.7399619700004</v>
      </c>
    </row>
    <row r="452" spans="2:10">
      <c r="B452" s="621"/>
      <c r="C452" s="622"/>
      <c r="D452" s="622"/>
      <c r="E452" s="622"/>
      <c r="F452" s="622"/>
      <c r="G452" s="622"/>
      <c r="H452" s="623"/>
    </row>
    <row r="453" spans="2:10" ht="51">
      <c r="B453" s="139" t="s">
        <v>1996</v>
      </c>
      <c r="C453" s="140" t="s">
        <v>369</v>
      </c>
      <c r="D453" s="141" t="s">
        <v>12</v>
      </c>
      <c r="E453" s="141" t="s">
        <v>37</v>
      </c>
      <c r="F453" s="142"/>
      <c r="G453" s="143"/>
      <c r="H453" s="144"/>
    </row>
    <row r="454" spans="2:10" ht="25.5">
      <c r="B454" s="145" t="s">
        <v>1470</v>
      </c>
      <c r="C454" s="98" t="s">
        <v>1471</v>
      </c>
      <c r="D454" s="99" t="s">
        <v>401</v>
      </c>
      <c r="E454" s="99" t="s">
        <v>112</v>
      </c>
      <c r="F454" s="94">
        <v>26</v>
      </c>
      <c r="G454" s="95">
        <f t="shared" ref="G454:G460" si="43">6.3*1.2217</f>
        <v>7.6967099999999995</v>
      </c>
      <c r="H454" s="147">
        <f>F454*G454</f>
        <v>200.11445999999998</v>
      </c>
      <c r="J454" s="438"/>
    </row>
    <row r="455" spans="2:10" ht="25.5">
      <c r="B455" s="145" t="s">
        <v>1472</v>
      </c>
      <c r="C455" s="98" t="s">
        <v>1473</v>
      </c>
      <c r="D455" s="99" t="s">
        <v>401</v>
      </c>
      <c r="E455" s="99" t="s">
        <v>112</v>
      </c>
      <c r="F455" s="94">
        <v>10.6793655079</v>
      </c>
      <c r="G455" s="95">
        <f t="shared" si="43"/>
        <v>7.6967099999999995</v>
      </c>
      <c r="H455" s="147">
        <f>F455*G455</f>
        <v>82.195979298308998</v>
      </c>
      <c r="J455" s="439"/>
    </row>
    <row r="456" spans="2:10" ht="38.25">
      <c r="B456" s="145" t="s">
        <v>1474</v>
      </c>
      <c r="C456" s="98" t="s">
        <v>1475</v>
      </c>
      <c r="D456" s="99" t="s">
        <v>401</v>
      </c>
      <c r="E456" s="99" t="s">
        <v>112</v>
      </c>
      <c r="F456" s="94">
        <v>31.660317460000002</v>
      </c>
      <c r="G456" s="95">
        <f t="shared" si="43"/>
        <v>7.6967099999999995</v>
      </c>
      <c r="H456" s="147">
        <f>F456*G456</f>
        <v>243.68028199755659</v>
      </c>
      <c r="J456" s="438"/>
    </row>
    <row r="457" spans="2:10" ht="38.25">
      <c r="B457" s="145" t="s">
        <v>1476</v>
      </c>
      <c r="C457" s="98" t="s">
        <v>1477</v>
      </c>
      <c r="D457" s="99" t="s">
        <v>401</v>
      </c>
      <c r="E457" s="99" t="s">
        <v>112</v>
      </c>
      <c r="F457" s="94">
        <v>4.16984127</v>
      </c>
      <c r="G457" s="95">
        <f t="shared" si="43"/>
        <v>7.6967099999999995</v>
      </c>
      <c r="H457" s="147">
        <f t="shared" ref="H457:H469" si="44">F457*G457</f>
        <v>32.094059001221702</v>
      </c>
    </row>
    <row r="458" spans="2:10" ht="38.25">
      <c r="B458" s="145" t="s">
        <v>1423</v>
      </c>
      <c r="C458" s="98" t="s">
        <v>1424</v>
      </c>
      <c r="D458" s="99" t="s">
        <v>401</v>
      </c>
      <c r="E458" s="99" t="s">
        <v>112</v>
      </c>
      <c r="F458" s="94">
        <v>3.420634921</v>
      </c>
      <c r="G458" s="95">
        <f t="shared" si="43"/>
        <v>7.6967099999999995</v>
      </c>
      <c r="H458" s="147">
        <f t="shared" si="44"/>
        <v>26.32763500280991</v>
      </c>
    </row>
    <row r="459" spans="2:10" ht="38.25">
      <c r="B459" s="145" t="s">
        <v>1478</v>
      </c>
      <c r="C459" s="98" t="s">
        <v>1479</v>
      </c>
      <c r="D459" s="99" t="s">
        <v>401</v>
      </c>
      <c r="E459" s="99" t="s">
        <v>112</v>
      </c>
      <c r="F459" s="94">
        <v>6.4206349210000004</v>
      </c>
      <c r="G459" s="95">
        <f t="shared" si="43"/>
        <v>7.6967099999999995</v>
      </c>
      <c r="H459" s="147">
        <f t="shared" si="44"/>
        <v>49.417765002809908</v>
      </c>
    </row>
    <row r="460" spans="2:10" ht="38.25">
      <c r="B460" s="145" t="s">
        <v>1480</v>
      </c>
      <c r="C460" s="98" t="s">
        <v>1481</v>
      </c>
      <c r="D460" s="99" t="s">
        <v>401</v>
      </c>
      <c r="E460" s="99" t="s">
        <v>112</v>
      </c>
      <c r="F460" s="94">
        <v>36.009523809999997</v>
      </c>
      <c r="G460" s="95">
        <f t="shared" si="43"/>
        <v>7.6967099999999995</v>
      </c>
      <c r="H460" s="147">
        <f t="shared" si="44"/>
        <v>277.15486200366507</v>
      </c>
    </row>
    <row r="461" spans="2:10" ht="25.5">
      <c r="B461" s="145">
        <v>11002</v>
      </c>
      <c r="C461" s="98" t="s">
        <v>1457</v>
      </c>
      <c r="D461" s="99" t="s">
        <v>401</v>
      </c>
      <c r="E461" s="99" t="s">
        <v>112</v>
      </c>
      <c r="F461" s="94">
        <v>0.3</v>
      </c>
      <c r="G461" s="95">
        <v>28.71</v>
      </c>
      <c r="H461" s="147">
        <f t="shared" si="44"/>
        <v>8.6129999999999995</v>
      </c>
    </row>
    <row r="462" spans="2:10" ht="38.25">
      <c r="B462" s="145">
        <v>11058</v>
      </c>
      <c r="C462" s="98" t="s">
        <v>1458</v>
      </c>
      <c r="D462" s="99" t="s">
        <v>401</v>
      </c>
      <c r="E462" s="99" t="s">
        <v>37</v>
      </c>
      <c r="F462" s="94">
        <v>10</v>
      </c>
      <c r="G462" s="95">
        <v>0.44</v>
      </c>
      <c r="H462" s="147">
        <f t="shared" si="44"/>
        <v>4.4000000000000004</v>
      </c>
    </row>
    <row r="463" spans="2:10" ht="25.5">
      <c r="B463" s="145">
        <v>20259</v>
      </c>
      <c r="C463" s="98" t="s">
        <v>1460</v>
      </c>
      <c r="D463" s="99" t="s">
        <v>401</v>
      </c>
      <c r="E463" s="99" t="s">
        <v>15</v>
      </c>
      <c r="F463" s="94">
        <v>46.7</v>
      </c>
      <c r="G463" s="95">
        <v>17.34</v>
      </c>
      <c r="H463" s="147">
        <f t="shared" si="44"/>
        <v>809.77800000000002</v>
      </c>
    </row>
    <row r="464" spans="2:10" ht="63.75">
      <c r="B464" s="145">
        <v>38165</v>
      </c>
      <c r="C464" s="98" t="s">
        <v>1482</v>
      </c>
      <c r="D464" s="99" t="s">
        <v>401</v>
      </c>
      <c r="E464" s="99" t="s">
        <v>663</v>
      </c>
      <c r="F464" s="94">
        <v>1</v>
      </c>
      <c r="G464" s="95">
        <v>67.760000000000005</v>
      </c>
      <c r="H464" s="147">
        <f t="shared" si="44"/>
        <v>67.760000000000005</v>
      </c>
    </row>
    <row r="465" spans="2:8" ht="38.25">
      <c r="B465" s="145">
        <v>40552</v>
      </c>
      <c r="C465" s="98" t="s">
        <v>1462</v>
      </c>
      <c r="D465" s="99" t="s">
        <v>401</v>
      </c>
      <c r="E465" s="99" t="s">
        <v>1398</v>
      </c>
      <c r="F465" s="94" t="s">
        <v>1364</v>
      </c>
      <c r="G465" s="95">
        <v>44.37</v>
      </c>
      <c r="H465" s="147">
        <f t="shared" si="44"/>
        <v>8.8740000000000006</v>
      </c>
    </row>
    <row r="466" spans="2:8" ht="38.25">
      <c r="B466" s="145" t="s">
        <v>1463</v>
      </c>
      <c r="C466" s="98" t="s">
        <v>1464</v>
      </c>
      <c r="D466" s="99" t="s">
        <v>12</v>
      </c>
      <c r="E466" s="99" t="s">
        <v>24</v>
      </c>
      <c r="F466" s="94">
        <v>15.001266623999999</v>
      </c>
      <c r="G466" s="95">
        <f>15.79*1.2217</f>
        <v>19.290642999999999</v>
      </c>
      <c r="H466" s="147">
        <f t="shared" si="44"/>
        <v>289.38407899139924</v>
      </c>
    </row>
    <row r="467" spans="2:8" ht="51">
      <c r="B467" s="145">
        <v>7568</v>
      </c>
      <c r="C467" s="98" t="s">
        <v>1465</v>
      </c>
      <c r="D467" s="99" t="s">
        <v>401</v>
      </c>
      <c r="E467" s="99" t="s">
        <v>37</v>
      </c>
      <c r="F467" s="94">
        <v>10</v>
      </c>
      <c r="G467" s="95">
        <v>0.98</v>
      </c>
      <c r="H467" s="147">
        <f t="shared" si="44"/>
        <v>9.8000000000000007</v>
      </c>
    </row>
    <row r="468" spans="2:8" ht="25.5">
      <c r="B468" s="145" t="s">
        <v>1356</v>
      </c>
      <c r="C468" s="98" t="s">
        <v>1357</v>
      </c>
      <c r="D468" s="99" t="s">
        <v>12</v>
      </c>
      <c r="E468" s="99" t="s">
        <v>1129</v>
      </c>
      <c r="F468" s="94">
        <v>24.000811687999999</v>
      </c>
      <c r="G468" s="95">
        <v>22.06</v>
      </c>
      <c r="H468" s="147">
        <f t="shared" si="44"/>
        <v>529.4579058372799</v>
      </c>
    </row>
    <row r="469" spans="2:8" ht="25.5">
      <c r="B469" s="145" t="s">
        <v>1391</v>
      </c>
      <c r="C469" s="98" t="s">
        <v>1392</v>
      </c>
      <c r="D469" s="99" t="s">
        <v>12</v>
      </c>
      <c r="E469" s="99" t="s">
        <v>1129</v>
      </c>
      <c r="F469" s="94">
        <v>24.002943341000002</v>
      </c>
      <c r="G469" s="95">
        <v>24.93</v>
      </c>
      <c r="H469" s="147">
        <f t="shared" si="44"/>
        <v>598.39337749113008</v>
      </c>
    </row>
    <row r="470" spans="2:8">
      <c r="B470" s="630" t="s">
        <v>1232</v>
      </c>
      <c r="C470" s="631"/>
      <c r="D470" s="631"/>
      <c r="E470" s="631"/>
      <c r="F470" s="631"/>
      <c r="G470" s="632"/>
      <c r="H470" s="173">
        <f>SUM(H454:H469)</f>
        <v>3237.4454046261817</v>
      </c>
    </row>
    <row r="471" spans="2:8">
      <c r="B471" s="621"/>
      <c r="C471" s="622"/>
      <c r="D471" s="622"/>
      <c r="E471" s="622"/>
      <c r="F471" s="622"/>
      <c r="G471" s="622"/>
      <c r="H471" s="623"/>
    </row>
    <row r="472" spans="2:8" ht="38.25">
      <c r="B472" s="139" t="s">
        <v>1997</v>
      </c>
      <c r="C472" s="140" t="s">
        <v>370</v>
      </c>
      <c r="D472" s="141" t="s">
        <v>12</v>
      </c>
      <c r="E472" s="141" t="s">
        <v>37</v>
      </c>
      <c r="F472" s="142"/>
      <c r="G472" s="143"/>
      <c r="H472" s="144"/>
    </row>
    <row r="473" spans="2:8" ht="25.5">
      <c r="B473" s="145" t="s">
        <v>1470</v>
      </c>
      <c r="C473" s="98" t="s">
        <v>1471</v>
      </c>
      <c r="D473" s="99" t="s">
        <v>401</v>
      </c>
      <c r="E473" s="99" t="s">
        <v>112</v>
      </c>
      <c r="F473" s="94">
        <v>81.306317460000002</v>
      </c>
      <c r="G473" s="95">
        <f t="shared" ref="G473:G478" si="45">6.3*1.2217</f>
        <v>7.6967099999999995</v>
      </c>
      <c r="H473" s="147">
        <f>F473*G473</f>
        <v>625.79114665755662</v>
      </c>
    </row>
    <row r="474" spans="2:8" ht="25.5">
      <c r="B474" s="145" t="s">
        <v>1472</v>
      </c>
      <c r="C474" s="98" t="s">
        <v>1473</v>
      </c>
      <c r="D474" s="99" t="s">
        <v>401</v>
      </c>
      <c r="E474" s="99" t="s">
        <v>112</v>
      </c>
      <c r="F474" s="94">
        <v>26.169841269999999</v>
      </c>
      <c r="G474" s="95">
        <f t="shared" si="45"/>
        <v>7.6967099999999995</v>
      </c>
      <c r="H474" s="147">
        <f t="shared" ref="H474:H487" si="46">F474*G474</f>
        <v>201.42167900122169</v>
      </c>
    </row>
    <row r="475" spans="2:8" ht="38.25">
      <c r="B475" s="145" t="s">
        <v>1474</v>
      </c>
      <c r="C475" s="98" t="s">
        <v>1475</v>
      </c>
      <c r="D475" s="99" t="s">
        <v>401</v>
      </c>
      <c r="E475" s="99" t="s">
        <v>112</v>
      </c>
      <c r="F475" s="94">
        <v>77.560317459999993</v>
      </c>
      <c r="G475" s="95">
        <f t="shared" si="45"/>
        <v>7.6967099999999995</v>
      </c>
      <c r="H475" s="147">
        <f t="shared" si="46"/>
        <v>596.95927099755647</v>
      </c>
    </row>
    <row r="476" spans="2:8" ht="38.25">
      <c r="B476" s="145" t="s">
        <v>1476</v>
      </c>
      <c r="C476" s="98" t="s">
        <v>1477</v>
      </c>
      <c r="D476" s="99" t="s">
        <v>401</v>
      </c>
      <c r="E476" s="99" t="s">
        <v>112</v>
      </c>
      <c r="F476" s="94">
        <v>51.669841269999999</v>
      </c>
      <c r="G476" s="95">
        <f t="shared" si="45"/>
        <v>7.6967099999999995</v>
      </c>
      <c r="H476" s="147">
        <f t="shared" si="46"/>
        <v>397.68778400122164</v>
      </c>
    </row>
    <row r="477" spans="2:8" ht="38.25">
      <c r="B477" s="145" t="s">
        <v>1423</v>
      </c>
      <c r="C477" s="98" t="s">
        <v>1424</v>
      </c>
      <c r="D477" s="99" t="s">
        <v>401</v>
      </c>
      <c r="E477" s="99" t="s">
        <v>112</v>
      </c>
      <c r="F477" s="94">
        <v>42.390476190000001</v>
      </c>
      <c r="G477" s="95">
        <f t="shared" si="45"/>
        <v>7.6967099999999995</v>
      </c>
      <c r="H477" s="147">
        <f t="shared" si="46"/>
        <v>326.2672019963349</v>
      </c>
    </row>
    <row r="478" spans="2:8" ht="38.25">
      <c r="B478" s="145" t="s">
        <v>1480</v>
      </c>
      <c r="C478" s="98" t="s">
        <v>1481</v>
      </c>
      <c r="D478" s="99" t="s">
        <v>401</v>
      </c>
      <c r="E478" s="99" t="s">
        <v>112</v>
      </c>
      <c r="F478" s="94">
        <v>85.320634921000007</v>
      </c>
      <c r="G478" s="95">
        <f t="shared" si="45"/>
        <v>7.6967099999999995</v>
      </c>
      <c r="H478" s="147">
        <f t="shared" si="46"/>
        <v>656.68818400280998</v>
      </c>
    </row>
    <row r="479" spans="2:8" ht="25.5">
      <c r="B479" s="145">
        <v>11002</v>
      </c>
      <c r="C479" s="98" t="s">
        <v>1457</v>
      </c>
      <c r="D479" s="99" t="s">
        <v>401</v>
      </c>
      <c r="E479" s="99" t="s">
        <v>112</v>
      </c>
      <c r="F479" s="94" t="s">
        <v>1365</v>
      </c>
      <c r="G479" s="95">
        <v>28.71</v>
      </c>
      <c r="H479" s="147">
        <f t="shared" si="46"/>
        <v>25.839000000000002</v>
      </c>
    </row>
    <row r="480" spans="2:8" ht="38.25">
      <c r="B480" s="145">
        <v>11058</v>
      </c>
      <c r="C480" s="98" t="s">
        <v>1458</v>
      </c>
      <c r="D480" s="99" t="s">
        <v>401</v>
      </c>
      <c r="E480" s="99" t="s">
        <v>37</v>
      </c>
      <c r="F480" s="94">
        <v>24</v>
      </c>
      <c r="G480" s="95">
        <v>0.44</v>
      </c>
      <c r="H480" s="147">
        <f t="shared" si="46"/>
        <v>10.56</v>
      </c>
    </row>
    <row r="481" spans="2:8" ht="25.5">
      <c r="B481" s="145">
        <v>20259</v>
      </c>
      <c r="C481" s="98" t="s">
        <v>1460</v>
      </c>
      <c r="D481" s="99" t="s">
        <v>401</v>
      </c>
      <c r="E481" s="99" t="s">
        <v>15</v>
      </c>
      <c r="F481" s="94">
        <v>158</v>
      </c>
      <c r="G481" s="95">
        <v>17.34</v>
      </c>
      <c r="H481" s="147">
        <f t="shared" si="46"/>
        <v>2739.72</v>
      </c>
    </row>
    <row r="482" spans="2:8" ht="63.75">
      <c r="B482" s="145">
        <v>38165</v>
      </c>
      <c r="C482" s="98" t="s">
        <v>1482</v>
      </c>
      <c r="D482" s="99" t="s">
        <v>401</v>
      </c>
      <c r="E482" s="99" t="s">
        <v>663</v>
      </c>
      <c r="F482" s="94">
        <v>6</v>
      </c>
      <c r="G482" s="95">
        <v>67.760000000000005</v>
      </c>
      <c r="H482" s="147">
        <f t="shared" si="46"/>
        <v>406.56000000000006</v>
      </c>
    </row>
    <row r="483" spans="2:8" ht="38.25">
      <c r="B483" s="145">
        <v>40552</v>
      </c>
      <c r="C483" s="98" t="s">
        <v>1462</v>
      </c>
      <c r="D483" s="99" t="s">
        <v>401</v>
      </c>
      <c r="E483" s="99" t="s">
        <v>1398</v>
      </c>
      <c r="F483" s="94">
        <v>1</v>
      </c>
      <c r="G483" s="95">
        <v>44.37</v>
      </c>
      <c r="H483" s="147">
        <f t="shared" si="46"/>
        <v>44.37</v>
      </c>
    </row>
    <row r="484" spans="2:8" ht="38.25">
      <c r="B484" s="145" t="s">
        <v>1463</v>
      </c>
      <c r="C484" s="98" t="s">
        <v>1464</v>
      </c>
      <c r="D484" s="99" t="s">
        <v>12</v>
      </c>
      <c r="E484" s="99" t="s">
        <v>24</v>
      </c>
      <c r="F484" s="94">
        <v>54.053831539000001</v>
      </c>
      <c r="G484" s="95">
        <f>15.79*1.2217</f>
        <v>19.290642999999999</v>
      </c>
      <c r="H484" s="147">
        <f t="shared" si="46"/>
        <v>1042.7331670009896</v>
      </c>
    </row>
    <row r="485" spans="2:8" ht="51">
      <c r="B485" s="145">
        <v>7568</v>
      </c>
      <c r="C485" s="98" t="s">
        <v>1465</v>
      </c>
      <c r="D485" s="99" t="s">
        <v>401</v>
      </c>
      <c r="E485" s="99" t="s">
        <v>37</v>
      </c>
      <c r="F485" s="94">
        <v>24</v>
      </c>
      <c r="G485" s="95">
        <v>0.98</v>
      </c>
      <c r="H485" s="147">
        <f t="shared" si="46"/>
        <v>23.52</v>
      </c>
    </row>
    <row r="486" spans="2:8" ht="25.5">
      <c r="B486" s="145" t="s">
        <v>1356</v>
      </c>
      <c r="C486" s="98" t="s">
        <v>1357</v>
      </c>
      <c r="D486" s="99" t="s">
        <v>12</v>
      </c>
      <c r="E486" s="99" t="s">
        <v>1129</v>
      </c>
      <c r="F486" s="94">
        <v>86.004058442000002</v>
      </c>
      <c r="G486" s="95">
        <v>22.06</v>
      </c>
      <c r="H486" s="147">
        <f t="shared" si="46"/>
        <v>1897.24952923052</v>
      </c>
    </row>
    <row r="487" spans="2:8" ht="25.5">
      <c r="B487" s="145" t="s">
        <v>1391</v>
      </c>
      <c r="C487" s="98" t="s">
        <v>1392</v>
      </c>
      <c r="D487" s="99" t="s">
        <v>12</v>
      </c>
      <c r="E487" s="99" t="s">
        <v>1129</v>
      </c>
      <c r="F487" s="94">
        <v>86.011037528000003</v>
      </c>
      <c r="G487" s="95">
        <v>24.93</v>
      </c>
      <c r="H487" s="147">
        <f t="shared" si="46"/>
        <v>2144.2551655730399</v>
      </c>
    </row>
    <row r="488" spans="2:8">
      <c r="B488" s="630" t="s">
        <v>1232</v>
      </c>
      <c r="C488" s="631"/>
      <c r="D488" s="631"/>
      <c r="E488" s="631"/>
      <c r="F488" s="631"/>
      <c r="G488" s="632"/>
      <c r="H488" s="173">
        <f>SUM(H473:H487)</f>
        <v>11139.622128461251</v>
      </c>
    </row>
    <row r="489" spans="2:8">
      <c r="B489" s="621"/>
      <c r="C489" s="622"/>
      <c r="D489" s="622"/>
      <c r="E489" s="622"/>
      <c r="F489" s="622"/>
      <c r="G489" s="622"/>
      <c r="H489" s="623"/>
    </row>
    <row r="490" spans="2:8" ht="38.25">
      <c r="B490" s="139" t="s">
        <v>1998</v>
      </c>
      <c r="C490" s="140" t="s">
        <v>371</v>
      </c>
      <c r="D490" s="141" t="s">
        <v>12</v>
      </c>
      <c r="E490" s="141" t="s">
        <v>37</v>
      </c>
      <c r="F490" s="142"/>
      <c r="G490" s="143"/>
      <c r="H490" s="144"/>
    </row>
    <row r="491" spans="2:8" ht="25.5">
      <c r="B491" s="145" t="s">
        <v>1470</v>
      </c>
      <c r="C491" s="98" t="s">
        <v>1471</v>
      </c>
      <c r="D491" s="99" t="s">
        <v>401</v>
      </c>
      <c r="E491" s="99" t="s">
        <v>112</v>
      </c>
      <c r="F491" s="94">
        <v>15.139682540000001</v>
      </c>
      <c r="G491" s="95">
        <f t="shared" ref="G491:G497" si="47">6.3*1.2217</f>
        <v>7.6967099999999995</v>
      </c>
      <c r="H491" s="147">
        <f>F491*G491</f>
        <v>116.5257460024434</v>
      </c>
    </row>
    <row r="492" spans="2:8" ht="25.5">
      <c r="B492" s="145" t="s">
        <v>1472</v>
      </c>
      <c r="C492" s="98" t="s">
        <v>1473</v>
      </c>
      <c r="D492" s="99" t="s">
        <v>401</v>
      </c>
      <c r="E492" s="99" t="s">
        <v>112</v>
      </c>
      <c r="F492" s="94">
        <v>9.4396825399999997</v>
      </c>
      <c r="G492" s="95">
        <f t="shared" si="47"/>
        <v>7.6967099999999995</v>
      </c>
      <c r="H492" s="147">
        <f t="shared" ref="H492:H506" si="48">F492*G492</f>
        <v>72.654499002443387</v>
      </c>
    </row>
    <row r="493" spans="2:8" ht="38.25">
      <c r="B493" s="145" t="s">
        <v>1474</v>
      </c>
      <c r="C493" s="98" t="s">
        <v>1475</v>
      </c>
      <c r="D493" s="99" t="s">
        <v>401</v>
      </c>
      <c r="E493" s="99" t="s">
        <v>112</v>
      </c>
      <c r="F493" s="94">
        <v>28</v>
      </c>
      <c r="G493" s="95">
        <f t="shared" si="47"/>
        <v>7.6967099999999995</v>
      </c>
      <c r="H493" s="147">
        <f t="shared" si="48"/>
        <v>215.50788</v>
      </c>
    </row>
    <row r="494" spans="2:8" ht="38.25">
      <c r="B494" s="145" t="s">
        <v>1476</v>
      </c>
      <c r="C494" s="98" t="s">
        <v>1477</v>
      </c>
      <c r="D494" s="99" t="s">
        <v>401</v>
      </c>
      <c r="E494" s="99" t="s">
        <v>112</v>
      </c>
      <c r="F494" s="94">
        <v>13.479365079000001</v>
      </c>
      <c r="G494" s="95">
        <f t="shared" si="47"/>
        <v>7.6967099999999995</v>
      </c>
      <c r="H494" s="147">
        <f t="shared" si="48"/>
        <v>103.74676399719009</v>
      </c>
    </row>
    <row r="495" spans="2:8" ht="38.25">
      <c r="B495" s="145" t="s">
        <v>1423</v>
      </c>
      <c r="C495" s="98" t="s">
        <v>1424</v>
      </c>
      <c r="D495" s="99" t="s">
        <v>401</v>
      </c>
      <c r="E495" s="99" t="s">
        <v>112</v>
      </c>
      <c r="F495" s="94">
        <v>9.7904761899999997</v>
      </c>
      <c r="G495" s="95">
        <f t="shared" si="47"/>
        <v>7.6967099999999995</v>
      </c>
      <c r="H495" s="147">
        <f t="shared" si="48"/>
        <v>75.354455996334892</v>
      </c>
    </row>
    <row r="496" spans="2:8" ht="38.25">
      <c r="B496" s="145" t="s">
        <v>1478</v>
      </c>
      <c r="C496" s="98" t="s">
        <v>1479</v>
      </c>
      <c r="D496" s="99" t="s">
        <v>401</v>
      </c>
      <c r="E496" s="99" t="s">
        <v>112</v>
      </c>
      <c r="F496" s="94">
        <v>7.6206349209999997</v>
      </c>
      <c r="G496" s="95">
        <f t="shared" si="47"/>
        <v>7.6967099999999995</v>
      </c>
      <c r="H496" s="147">
        <f t="shared" si="48"/>
        <v>58.653817002809902</v>
      </c>
    </row>
    <row r="497" spans="2:8" ht="38.25">
      <c r="B497" s="145" t="s">
        <v>1480</v>
      </c>
      <c r="C497" s="98" t="s">
        <v>1481</v>
      </c>
      <c r="D497" s="99" t="s">
        <v>401</v>
      </c>
      <c r="E497" s="99" t="s">
        <v>112</v>
      </c>
      <c r="F497" s="94">
        <v>7.1095238099999998</v>
      </c>
      <c r="G497" s="95">
        <f t="shared" si="47"/>
        <v>7.6967099999999995</v>
      </c>
      <c r="H497" s="147">
        <f t="shared" si="48"/>
        <v>54.719943003665094</v>
      </c>
    </row>
    <row r="498" spans="2:8" ht="25.5">
      <c r="B498" s="145">
        <v>11002</v>
      </c>
      <c r="C498" s="98" t="s">
        <v>1457</v>
      </c>
      <c r="D498" s="99" t="s">
        <v>401</v>
      </c>
      <c r="E498" s="99" t="s">
        <v>112</v>
      </c>
      <c r="F498" s="94">
        <v>0.2</v>
      </c>
      <c r="G498" s="95">
        <v>28.71</v>
      </c>
      <c r="H498" s="147">
        <f t="shared" si="48"/>
        <v>5.7420000000000009</v>
      </c>
    </row>
    <row r="499" spans="2:8" ht="38.25">
      <c r="B499" s="145">
        <v>11058</v>
      </c>
      <c r="C499" s="98" t="s">
        <v>1458</v>
      </c>
      <c r="D499" s="99" t="s">
        <v>401</v>
      </c>
      <c r="E499" s="99" t="s">
        <v>37</v>
      </c>
      <c r="F499" s="94">
        <v>4</v>
      </c>
      <c r="G499" s="95">
        <v>0.44</v>
      </c>
      <c r="H499" s="147">
        <f t="shared" si="48"/>
        <v>1.76</v>
      </c>
    </row>
    <row r="500" spans="2:8" ht="25.5">
      <c r="B500" s="145">
        <v>20259</v>
      </c>
      <c r="C500" s="98" t="s">
        <v>1460</v>
      </c>
      <c r="D500" s="99" t="s">
        <v>401</v>
      </c>
      <c r="E500" s="99" t="s">
        <v>15</v>
      </c>
      <c r="F500" s="94">
        <v>29.6</v>
      </c>
      <c r="G500" s="95">
        <v>17.34</v>
      </c>
      <c r="H500" s="147">
        <f t="shared" si="48"/>
        <v>513.26400000000001</v>
      </c>
    </row>
    <row r="501" spans="2:8" ht="63.75">
      <c r="B501" s="145">
        <v>38165</v>
      </c>
      <c r="C501" s="98" t="s">
        <v>1482</v>
      </c>
      <c r="D501" s="99" t="s">
        <v>401</v>
      </c>
      <c r="E501" s="99" t="s">
        <v>663</v>
      </c>
      <c r="F501" s="94">
        <v>1</v>
      </c>
      <c r="G501" s="95">
        <v>67.760000000000005</v>
      </c>
      <c r="H501" s="147">
        <f t="shared" si="48"/>
        <v>67.760000000000005</v>
      </c>
    </row>
    <row r="502" spans="2:8" ht="38.25">
      <c r="B502" s="145">
        <v>40552</v>
      </c>
      <c r="C502" s="98" t="s">
        <v>1462</v>
      </c>
      <c r="D502" s="99" t="s">
        <v>401</v>
      </c>
      <c r="E502" s="99" t="s">
        <v>1398</v>
      </c>
      <c r="F502" s="94">
        <v>0.15</v>
      </c>
      <c r="G502" s="95">
        <v>44.37</v>
      </c>
      <c r="H502" s="147">
        <f t="shared" si="48"/>
        <v>6.6554999999999991</v>
      </c>
    </row>
    <row r="503" spans="2:8" ht="38.25">
      <c r="B503" s="145" t="s">
        <v>1463</v>
      </c>
      <c r="C503" s="98" t="s">
        <v>1464</v>
      </c>
      <c r="D503" s="99" t="s">
        <v>12</v>
      </c>
      <c r="E503" s="99" t="s">
        <v>24</v>
      </c>
      <c r="F503" s="94">
        <v>12.740975301000001</v>
      </c>
      <c r="G503" s="95">
        <f>15.79*1.2217</f>
        <v>19.290642999999999</v>
      </c>
      <c r="H503" s="147">
        <f t="shared" si="48"/>
        <v>245.78160600340854</v>
      </c>
    </row>
    <row r="504" spans="2:8" ht="51">
      <c r="B504" s="145">
        <v>7568</v>
      </c>
      <c r="C504" s="98" t="s">
        <v>1465</v>
      </c>
      <c r="D504" s="99" t="s">
        <v>401</v>
      </c>
      <c r="E504" s="99" t="s">
        <v>37</v>
      </c>
      <c r="F504" s="94">
        <v>4</v>
      </c>
      <c r="G504" s="95">
        <v>0.98</v>
      </c>
      <c r="H504" s="147">
        <f t="shared" si="48"/>
        <v>3.92</v>
      </c>
    </row>
    <row r="505" spans="2:8" ht="25.5">
      <c r="B505" s="145" t="s">
        <v>1356</v>
      </c>
      <c r="C505" s="98" t="s">
        <v>1357</v>
      </c>
      <c r="D505" s="99" t="s">
        <v>12</v>
      </c>
      <c r="E505" s="99" t="s">
        <v>1129</v>
      </c>
      <c r="F505" s="94">
        <v>8</v>
      </c>
      <c r="G505" s="95">
        <v>22.06</v>
      </c>
      <c r="H505" s="147">
        <f t="shared" si="48"/>
        <v>176.48</v>
      </c>
    </row>
    <row r="506" spans="2:8" ht="25.5">
      <c r="B506" s="145" t="s">
        <v>1391</v>
      </c>
      <c r="C506" s="98" t="s">
        <v>1392</v>
      </c>
      <c r="D506" s="99" t="s">
        <v>12</v>
      </c>
      <c r="E506" s="99" t="s">
        <v>1129</v>
      </c>
      <c r="F506" s="94">
        <v>8.0007358350000004</v>
      </c>
      <c r="G506" s="95">
        <v>24.93</v>
      </c>
      <c r="H506" s="147">
        <f t="shared" si="48"/>
        <v>199.45834436654999</v>
      </c>
    </row>
    <row r="507" spans="2:8">
      <c r="B507" s="630" t="s">
        <v>1232</v>
      </c>
      <c r="C507" s="631"/>
      <c r="D507" s="631"/>
      <c r="E507" s="631"/>
      <c r="F507" s="631"/>
      <c r="G507" s="632"/>
      <c r="H507" s="148">
        <f>SUM(H491:H506)</f>
        <v>1917.9845553748455</v>
      </c>
    </row>
    <row r="508" spans="2:8">
      <c r="B508" s="621"/>
      <c r="C508" s="622"/>
      <c r="D508" s="622"/>
      <c r="E508" s="622"/>
      <c r="F508" s="622"/>
      <c r="G508" s="622"/>
      <c r="H508" s="623"/>
    </row>
    <row r="509" spans="2:8" ht="51">
      <c r="B509" s="139" t="s">
        <v>1999</v>
      </c>
      <c r="C509" s="140" t="s">
        <v>372</v>
      </c>
      <c r="D509" s="141" t="s">
        <v>12</v>
      </c>
      <c r="E509" s="141" t="s">
        <v>37</v>
      </c>
      <c r="F509" s="142"/>
      <c r="G509" s="143"/>
      <c r="H509" s="144"/>
    </row>
    <row r="510" spans="2:8" ht="25.5">
      <c r="B510" s="145" t="s">
        <v>1438</v>
      </c>
      <c r="C510" s="98" t="s">
        <v>1439</v>
      </c>
      <c r="D510" s="99" t="s">
        <v>401</v>
      </c>
      <c r="E510" s="99" t="s">
        <v>112</v>
      </c>
      <c r="F510" s="94">
        <v>198.7</v>
      </c>
      <c r="G510" s="95">
        <f t="shared" ref="G510:G517" si="49">6.3*1.2217</f>
        <v>7.6967099999999995</v>
      </c>
      <c r="H510" s="147">
        <f>F510*G510</f>
        <v>1529.3362769999999</v>
      </c>
    </row>
    <row r="511" spans="2:8" ht="25.5">
      <c r="B511" s="145" t="s">
        <v>1442</v>
      </c>
      <c r="C511" s="98" t="s">
        <v>1443</v>
      </c>
      <c r="D511" s="99" t="s">
        <v>401</v>
      </c>
      <c r="E511" s="99" t="s">
        <v>112</v>
      </c>
      <c r="F511" s="94">
        <v>112.43015873</v>
      </c>
      <c r="G511" s="95">
        <f t="shared" si="49"/>
        <v>7.6967099999999995</v>
      </c>
      <c r="H511" s="147">
        <f t="shared" ref="H511:H529" si="50">F511*G511</f>
        <v>865.34232699877828</v>
      </c>
    </row>
    <row r="512" spans="2:8" ht="25.5">
      <c r="B512" s="145" t="s">
        <v>1444</v>
      </c>
      <c r="C512" s="98" t="s">
        <v>1445</v>
      </c>
      <c r="D512" s="99" t="s">
        <v>401</v>
      </c>
      <c r="E512" s="99" t="s">
        <v>112</v>
      </c>
      <c r="F512" s="94">
        <v>17.179365079</v>
      </c>
      <c r="G512" s="95">
        <f t="shared" si="49"/>
        <v>7.6967099999999995</v>
      </c>
      <c r="H512" s="147">
        <f t="shared" si="50"/>
        <v>132.22459099719009</v>
      </c>
    </row>
    <row r="513" spans="2:8" ht="25.5">
      <c r="B513" s="145" t="s">
        <v>1446</v>
      </c>
      <c r="C513" s="98" t="s">
        <v>1447</v>
      </c>
      <c r="D513" s="99" t="s">
        <v>401</v>
      </c>
      <c r="E513" s="99" t="s">
        <v>112</v>
      </c>
      <c r="F513" s="94">
        <v>26.7</v>
      </c>
      <c r="G513" s="95">
        <f t="shared" si="49"/>
        <v>7.6967099999999995</v>
      </c>
      <c r="H513" s="147">
        <f t="shared" si="50"/>
        <v>205.50215699999998</v>
      </c>
    </row>
    <row r="514" spans="2:8" ht="25.5">
      <c r="B514" s="145" t="s">
        <v>1470</v>
      </c>
      <c r="C514" s="98" t="s">
        <v>1471</v>
      </c>
      <c r="D514" s="99" t="s">
        <v>401</v>
      </c>
      <c r="E514" s="99" t="s">
        <v>112</v>
      </c>
      <c r="F514" s="94">
        <v>85.760317459999996</v>
      </c>
      <c r="G514" s="95">
        <f t="shared" si="49"/>
        <v>7.6967099999999995</v>
      </c>
      <c r="H514" s="147">
        <f t="shared" si="50"/>
        <v>660.07229299755647</v>
      </c>
    </row>
    <row r="515" spans="2:8" ht="25.5">
      <c r="B515" s="145" t="s">
        <v>1448</v>
      </c>
      <c r="C515" s="98" t="s">
        <v>1449</v>
      </c>
      <c r="D515" s="99" t="s">
        <v>401</v>
      </c>
      <c r="E515" s="99" t="s">
        <v>112</v>
      </c>
      <c r="F515" s="94">
        <v>12.06984127</v>
      </c>
      <c r="G515" s="95">
        <f t="shared" si="49"/>
        <v>7.6967099999999995</v>
      </c>
      <c r="H515" s="147">
        <f t="shared" si="50"/>
        <v>92.898068001221688</v>
      </c>
    </row>
    <row r="516" spans="2:8" ht="25.5">
      <c r="B516" s="145" t="s">
        <v>1450</v>
      </c>
      <c r="C516" s="98" t="s">
        <v>1451</v>
      </c>
      <c r="D516" s="99" t="s">
        <v>401</v>
      </c>
      <c r="E516" s="99" t="s">
        <v>112</v>
      </c>
      <c r="F516" s="94">
        <v>34.43968254</v>
      </c>
      <c r="G516" s="95">
        <f t="shared" si="49"/>
        <v>7.6967099999999995</v>
      </c>
      <c r="H516" s="147">
        <f t="shared" si="50"/>
        <v>265.07224900244336</v>
      </c>
    </row>
    <row r="517" spans="2:8" ht="38.25">
      <c r="B517" s="145" t="s">
        <v>1480</v>
      </c>
      <c r="C517" s="98" t="s">
        <v>1481</v>
      </c>
      <c r="D517" s="99" t="s">
        <v>401</v>
      </c>
      <c r="E517" s="99" t="s">
        <v>112</v>
      </c>
      <c r="F517" s="94">
        <v>8.0603174600000003</v>
      </c>
      <c r="G517" s="95">
        <f t="shared" si="49"/>
        <v>7.6967099999999995</v>
      </c>
      <c r="H517" s="147">
        <f t="shared" si="50"/>
        <v>62.037925997556599</v>
      </c>
    </row>
    <row r="518" spans="2:8">
      <c r="B518" s="145" t="s">
        <v>1452</v>
      </c>
      <c r="C518" s="98" t="s">
        <v>1453</v>
      </c>
      <c r="D518" s="99" t="s">
        <v>401</v>
      </c>
      <c r="E518" s="99" t="s">
        <v>1454</v>
      </c>
      <c r="F518" s="94">
        <v>20</v>
      </c>
      <c r="G518" s="95">
        <f>45.28*1.2217</f>
        <v>55.318576</v>
      </c>
      <c r="H518" s="147">
        <f t="shared" si="50"/>
        <v>1106.3715199999999</v>
      </c>
    </row>
    <row r="519" spans="2:8">
      <c r="B519" s="145" t="s">
        <v>1455</v>
      </c>
      <c r="C519" s="98" t="s">
        <v>1456</v>
      </c>
      <c r="D519" s="99" t="s">
        <v>401</v>
      </c>
      <c r="E519" s="99" t="s">
        <v>37</v>
      </c>
      <c r="F519" s="94">
        <v>10</v>
      </c>
      <c r="G519" s="95">
        <f>49.4*1.2217</f>
        <v>60.351979999999998</v>
      </c>
      <c r="H519" s="147">
        <f t="shared" si="50"/>
        <v>603.51980000000003</v>
      </c>
    </row>
    <row r="520" spans="2:8" ht="25.5">
      <c r="B520" s="145">
        <v>11002</v>
      </c>
      <c r="C520" s="98" t="s">
        <v>1457</v>
      </c>
      <c r="D520" s="99" t="s">
        <v>401</v>
      </c>
      <c r="E520" s="99" t="s">
        <v>112</v>
      </c>
      <c r="F520" s="94">
        <v>3</v>
      </c>
      <c r="G520" s="95">
        <v>28.71</v>
      </c>
      <c r="H520" s="147">
        <f t="shared" si="50"/>
        <v>86.13</v>
      </c>
    </row>
    <row r="521" spans="2:8" ht="38.25">
      <c r="B521" s="145">
        <v>11058</v>
      </c>
      <c r="C521" s="98" t="s">
        <v>1458</v>
      </c>
      <c r="D521" s="99" t="s">
        <v>401</v>
      </c>
      <c r="E521" s="99" t="s">
        <v>37</v>
      </c>
      <c r="F521" s="94">
        <v>24</v>
      </c>
      <c r="G521" s="95">
        <v>0.44</v>
      </c>
      <c r="H521" s="147">
        <f t="shared" si="50"/>
        <v>10.56</v>
      </c>
    </row>
    <row r="522" spans="2:8" ht="38.25">
      <c r="B522" s="145">
        <v>11964</v>
      </c>
      <c r="C522" s="98" t="s">
        <v>1459</v>
      </c>
      <c r="D522" s="99" t="s">
        <v>401</v>
      </c>
      <c r="E522" s="99" t="s">
        <v>37</v>
      </c>
      <c r="F522" s="94">
        <v>12</v>
      </c>
      <c r="G522" s="95">
        <v>2.2599999999999998</v>
      </c>
      <c r="H522" s="147">
        <f t="shared" si="50"/>
        <v>27.119999999999997</v>
      </c>
    </row>
    <row r="523" spans="2:8" ht="25.5">
      <c r="B523" s="145">
        <v>20259</v>
      </c>
      <c r="C523" s="98" t="s">
        <v>1460</v>
      </c>
      <c r="D523" s="99" t="s">
        <v>401</v>
      </c>
      <c r="E523" s="99" t="s">
        <v>15</v>
      </c>
      <c r="F523" s="94">
        <v>240</v>
      </c>
      <c r="G523" s="95">
        <v>17.34</v>
      </c>
      <c r="H523" s="147">
        <f t="shared" si="50"/>
        <v>4161.6000000000004</v>
      </c>
    </row>
    <row r="524" spans="2:8" ht="63.75">
      <c r="B524" s="145">
        <v>3081</v>
      </c>
      <c r="C524" s="98" t="s">
        <v>1461</v>
      </c>
      <c r="D524" s="99" t="s">
        <v>401</v>
      </c>
      <c r="E524" s="99" t="s">
        <v>663</v>
      </c>
      <c r="F524" s="94">
        <v>1</v>
      </c>
      <c r="G524" s="95">
        <v>118.71</v>
      </c>
      <c r="H524" s="147">
        <f t="shared" si="50"/>
        <v>118.71</v>
      </c>
    </row>
    <row r="525" spans="2:8" ht="38.25">
      <c r="B525" s="145">
        <v>40552</v>
      </c>
      <c r="C525" s="98" t="s">
        <v>1462</v>
      </c>
      <c r="D525" s="99" t="s">
        <v>401</v>
      </c>
      <c r="E525" s="99" t="s">
        <v>1398</v>
      </c>
      <c r="F525" s="94">
        <v>1</v>
      </c>
      <c r="G525" s="95">
        <v>44.37</v>
      </c>
      <c r="H525" s="147">
        <f t="shared" si="50"/>
        <v>44.37</v>
      </c>
    </row>
    <row r="526" spans="2:8" ht="38.25">
      <c r="B526" s="145" t="s">
        <v>1463</v>
      </c>
      <c r="C526" s="98" t="s">
        <v>1464</v>
      </c>
      <c r="D526" s="99" t="s">
        <v>12</v>
      </c>
      <c r="E526" s="99" t="s">
        <v>24</v>
      </c>
      <c r="F526" s="94">
        <v>66.984116718400003</v>
      </c>
      <c r="G526" s="95">
        <f>15.79*1.2217</f>
        <v>19.290642999999999</v>
      </c>
      <c r="H526" s="147">
        <f t="shared" si="50"/>
        <v>1292.1666822849859</v>
      </c>
    </row>
    <row r="527" spans="2:8" ht="51">
      <c r="B527" s="145">
        <v>7568</v>
      </c>
      <c r="C527" s="98" t="s">
        <v>1465</v>
      </c>
      <c r="D527" s="99" t="s">
        <v>401</v>
      </c>
      <c r="E527" s="99" t="s">
        <v>37</v>
      </c>
      <c r="F527" s="94">
        <v>12</v>
      </c>
      <c r="G527" s="95">
        <v>0.98</v>
      </c>
      <c r="H527" s="147">
        <f t="shared" si="50"/>
        <v>11.76</v>
      </c>
    </row>
    <row r="528" spans="2:8" ht="25.5">
      <c r="B528" s="145" t="s">
        <v>1356</v>
      </c>
      <c r="C528" s="98" t="s">
        <v>1357</v>
      </c>
      <c r="D528" s="99" t="s">
        <v>12</v>
      </c>
      <c r="E528" s="99" t="s">
        <v>1129</v>
      </c>
      <c r="F528" s="94">
        <v>32.001623377000001</v>
      </c>
      <c r="G528" s="95">
        <v>22.06</v>
      </c>
      <c r="H528" s="147">
        <f t="shared" si="50"/>
        <v>705.95581169662</v>
      </c>
    </row>
    <row r="529" spans="2:8" ht="25.5">
      <c r="B529" s="145" t="s">
        <v>1391</v>
      </c>
      <c r="C529" s="98" t="s">
        <v>1392</v>
      </c>
      <c r="D529" s="99" t="s">
        <v>12</v>
      </c>
      <c r="E529" s="99" t="s">
        <v>1129</v>
      </c>
      <c r="F529" s="94">
        <v>32.003679175999999</v>
      </c>
      <c r="G529" s="95">
        <v>24.93</v>
      </c>
      <c r="H529" s="147">
        <f t="shared" si="50"/>
        <v>797.85172185767999</v>
      </c>
    </row>
    <row r="530" spans="2:8">
      <c r="B530" s="630" t="s">
        <v>1232</v>
      </c>
      <c r="C530" s="631"/>
      <c r="D530" s="631"/>
      <c r="E530" s="631"/>
      <c r="F530" s="631"/>
      <c r="G530" s="632"/>
      <c r="H530" s="148">
        <f>SUM(H510:H529)</f>
        <v>12778.601423834034</v>
      </c>
    </row>
    <row r="531" spans="2:8">
      <c r="B531" s="621"/>
      <c r="C531" s="622"/>
      <c r="D531" s="622"/>
      <c r="E531" s="622"/>
      <c r="F531" s="622"/>
      <c r="G531" s="622"/>
      <c r="H531" s="623"/>
    </row>
    <row r="532" spans="2:8" ht="38.25">
      <c r="B532" s="139" t="s">
        <v>2000</v>
      </c>
      <c r="C532" s="140" t="s">
        <v>373</v>
      </c>
      <c r="D532" s="141" t="s">
        <v>12</v>
      </c>
      <c r="E532" s="141" t="s">
        <v>37</v>
      </c>
      <c r="F532" s="142"/>
      <c r="G532" s="143"/>
      <c r="H532" s="144"/>
    </row>
    <row r="533" spans="2:8" ht="25.5">
      <c r="B533" s="145" t="s">
        <v>1436</v>
      </c>
      <c r="C533" s="98" t="s">
        <v>1437</v>
      </c>
      <c r="D533" s="99" t="s">
        <v>401</v>
      </c>
      <c r="E533" s="99" t="s">
        <v>112</v>
      </c>
      <c r="F533" s="94">
        <v>32.200000000000003</v>
      </c>
      <c r="G533" s="95">
        <f t="shared" ref="G533:G539" si="51">6.3*1.2217</f>
        <v>7.6967099999999995</v>
      </c>
      <c r="H533" s="147">
        <f>F533*G533</f>
        <v>247.83406200000002</v>
      </c>
    </row>
    <row r="534" spans="2:8" ht="25.5">
      <c r="B534" s="145" t="s">
        <v>1438</v>
      </c>
      <c r="C534" s="98" t="s">
        <v>1439</v>
      </c>
      <c r="D534" s="99" t="s">
        <v>401</v>
      </c>
      <c r="E534" s="99" t="s">
        <v>112</v>
      </c>
      <c r="F534" s="94">
        <v>24.9</v>
      </c>
      <c r="G534" s="95">
        <f t="shared" si="51"/>
        <v>7.6967099999999995</v>
      </c>
      <c r="H534" s="147">
        <f t="shared" ref="H534:H549" si="52">F534*G534</f>
        <v>191.64807899999997</v>
      </c>
    </row>
    <row r="535" spans="2:8" ht="25.5">
      <c r="B535" s="145" t="s">
        <v>1444</v>
      </c>
      <c r="C535" s="98" t="s">
        <v>1445</v>
      </c>
      <c r="D535" s="99" t="s">
        <v>401</v>
      </c>
      <c r="E535" s="99" t="s">
        <v>112</v>
      </c>
      <c r="F535" s="94">
        <v>6.2904761899999997</v>
      </c>
      <c r="G535" s="95">
        <f t="shared" si="51"/>
        <v>7.6967099999999995</v>
      </c>
      <c r="H535" s="147">
        <f t="shared" si="52"/>
        <v>48.415970996334892</v>
      </c>
    </row>
    <row r="536" spans="2:8" ht="25.5">
      <c r="B536" s="145" t="s">
        <v>1446</v>
      </c>
      <c r="C536" s="98" t="s">
        <v>1447</v>
      </c>
      <c r="D536" s="99" t="s">
        <v>401</v>
      </c>
      <c r="E536" s="99" t="s">
        <v>112</v>
      </c>
      <c r="F536" s="94">
        <v>9.5301587300000001</v>
      </c>
      <c r="G536" s="95">
        <f t="shared" si="51"/>
        <v>7.6967099999999995</v>
      </c>
      <c r="H536" s="147">
        <f t="shared" si="52"/>
        <v>73.350867998778298</v>
      </c>
    </row>
    <row r="537" spans="2:8" ht="25.5">
      <c r="B537" s="145" t="s">
        <v>1448</v>
      </c>
      <c r="C537" s="98" t="s">
        <v>1449</v>
      </c>
      <c r="D537" s="99" t="s">
        <v>401</v>
      </c>
      <c r="E537" s="99" t="s">
        <v>112</v>
      </c>
      <c r="F537" s="94">
        <v>5.4</v>
      </c>
      <c r="G537" s="95">
        <f t="shared" si="51"/>
        <v>7.6967099999999995</v>
      </c>
      <c r="H537" s="147">
        <f t="shared" si="52"/>
        <v>41.562233999999997</v>
      </c>
    </row>
    <row r="538" spans="2:8" ht="25.5">
      <c r="B538" s="145" t="s">
        <v>1450</v>
      </c>
      <c r="C538" s="98" t="s">
        <v>1451</v>
      </c>
      <c r="D538" s="99" t="s">
        <v>401</v>
      </c>
      <c r="E538" s="99" t="s">
        <v>112</v>
      </c>
      <c r="F538" s="94">
        <v>21.160317460000002</v>
      </c>
      <c r="G538" s="95">
        <f t="shared" si="51"/>
        <v>7.6967099999999995</v>
      </c>
      <c r="H538" s="147">
        <f t="shared" si="52"/>
        <v>162.86482699755661</v>
      </c>
    </row>
    <row r="539" spans="2:8" ht="25.5">
      <c r="B539" s="145" t="s">
        <v>1472</v>
      </c>
      <c r="C539" s="98" t="s">
        <v>1473</v>
      </c>
      <c r="D539" s="99" t="s">
        <v>401</v>
      </c>
      <c r="E539" s="99" t="s">
        <v>112</v>
      </c>
      <c r="F539" s="94">
        <v>9</v>
      </c>
      <c r="G539" s="95">
        <f t="shared" si="51"/>
        <v>7.6967099999999995</v>
      </c>
      <c r="H539" s="147">
        <f t="shared" si="52"/>
        <v>69.270389999999992</v>
      </c>
    </row>
    <row r="540" spans="2:8">
      <c r="B540" s="145" t="s">
        <v>1452</v>
      </c>
      <c r="C540" s="98" t="s">
        <v>1453</v>
      </c>
      <c r="D540" s="99" t="s">
        <v>401</v>
      </c>
      <c r="E540" s="99" t="s">
        <v>1454</v>
      </c>
      <c r="F540" s="94">
        <v>10</v>
      </c>
      <c r="G540" s="95">
        <f>45.28*1.2217</f>
        <v>55.318576</v>
      </c>
      <c r="H540" s="147">
        <f t="shared" si="52"/>
        <v>553.18575999999996</v>
      </c>
    </row>
    <row r="541" spans="2:8">
      <c r="B541" s="145" t="s">
        <v>1455</v>
      </c>
      <c r="C541" s="98" t="s">
        <v>1456</v>
      </c>
      <c r="D541" s="99" t="s">
        <v>401</v>
      </c>
      <c r="E541" s="99" t="s">
        <v>37</v>
      </c>
      <c r="F541" s="94">
        <v>5</v>
      </c>
      <c r="G541" s="95">
        <f>49.4*1.2217</f>
        <v>60.351979999999998</v>
      </c>
      <c r="H541" s="147">
        <f t="shared" si="52"/>
        <v>301.75990000000002</v>
      </c>
    </row>
    <row r="542" spans="2:8" ht="25.5">
      <c r="B542" s="145">
        <v>11002</v>
      </c>
      <c r="C542" s="98" t="s">
        <v>1457</v>
      </c>
      <c r="D542" s="99" t="s">
        <v>401</v>
      </c>
      <c r="E542" s="99" t="s">
        <v>112</v>
      </c>
      <c r="F542" s="94">
        <v>0.8</v>
      </c>
      <c r="G542" s="95">
        <v>28.71</v>
      </c>
      <c r="H542" s="147">
        <f t="shared" si="52"/>
        <v>22.968000000000004</v>
      </c>
    </row>
    <row r="543" spans="2:8" ht="38.25">
      <c r="B543" s="145">
        <v>11058</v>
      </c>
      <c r="C543" s="98" t="s">
        <v>1458</v>
      </c>
      <c r="D543" s="99" t="s">
        <v>401</v>
      </c>
      <c r="E543" s="99" t="s">
        <v>37</v>
      </c>
      <c r="F543" s="94">
        <v>12</v>
      </c>
      <c r="G543" s="95">
        <v>0.44</v>
      </c>
      <c r="H543" s="147">
        <f t="shared" si="52"/>
        <v>5.28</v>
      </c>
    </row>
    <row r="544" spans="2:8" ht="25.5">
      <c r="B544" s="145">
        <v>20259</v>
      </c>
      <c r="C544" s="98" t="s">
        <v>1460</v>
      </c>
      <c r="D544" s="99" t="s">
        <v>401</v>
      </c>
      <c r="E544" s="99" t="s">
        <v>15</v>
      </c>
      <c r="F544" s="94">
        <v>29.6</v>
      </c>
      <c r="G544" s="95">
        <v>17.34</v>
      </c>
      <c r="H544" s="147">
        <f t="shared" si="52"/>
        <v>513.26400000000001</v>
      </c>
    </row>
    <row r="545" spans="2:8" ht="38.25">
      <c r="B545" s="145">
        <v>40552</v>
      </c>
      <c r="C545" s="98" t="s">
        <v>1462</v>
      </c>
      <c r="D545" s="99" t="s">
        <v>401</v>
      </c>
      <c r="E545" s="99" t="s">
        <v>1398</v>
      </c>
      <c r="F545" s="94">
        <v>0.25</v>
      </c>
      <c r="G545" s="95">
        <v>44.37</v>
      </c>
      <c r="H545" s="147">
        <f t="shared" si="52"/>
        <v>11.092499999999999</v>
      </c>
    </row>
    <row r="546" spans="2:8" ht="38.25">
      <c r="B546" s="145" t="s">
        <v>1463</v>
      </c>
      <c r="C546" s="98" t="s">
        <v>1464</v>
      </c>
      <c r="D546" s="99" t="s">
        <v>12</v>
      </c>
      <c r="E546" s="99" t="s">
        <v>24</v>
      </c>
      <c r="F546" s="94">
        <v>6.590246992</v>
      </c>
      <c r="G546" s="95">
        <f>15.79*1.2217</f>
        <v>19.290642999999999</v>
      </c>
      <c r="H546" s="147">
        <f t="shared" si="52"/>
        <v>127.13010200449585</v>
      </c>
    </row>
    <row r="547" spans="2:8" ht="51">
      <c r="B547" s="145">
        <v>7568</v>
      </c>
      <c r="C547" s="98" t="s">
        <v>1465</v>
      </c>
      <c r="D547" s="99" t="s">
        <v>401</v>
      </c>
      <c r="E547" s="99" t="s">
        <v>37</v>
      </c>
      <c r="F547" s="94">
        <v>5</v>
      </c>
      <c r="G547" s="95">
        <v>0.98</v>
      </c>
      <c r="H547" s="147">
        <f t="shared" si="52"/>
        <v>4.9000000000000004</v>
      </c>
    </row>
    <row r="548" spans="2:8" ht="25.5">
      <c r="B548" s="145" t="s">
        <v>1356</v>
      </c>
      <c r="C548" s="98" t="s">
        <v>1357</v>
      </c>
      <c r="D548" s="99" t="s">
        <v>12</v>
      </c>
      <c r="E548" s="99" t="s">
        <v>1129</v>
      </c>
      <c r="F548" s="94">
        <v>8</v>
      </c>
      <c r="G548" s="95">
        <v>22.06</v>
      </c>
      <c r="H548" s="147">
        <f t="shared" si="52"/>
        <v>176.48</v>
      </c>
    </row>
    <row r="549" spans="2:8" ht="25.5">
      <c r="B549" s="145" t="s">
        <v>1391</v>
      </c>
      <c r="C549" s="98" t="s">
        <v>1392</v>
      </c>
      <c r="D549" s="99" t="s">
        <v>12</v>
      </c>
      <c r="E549" s="99" t="s">
        <v>1129</v>
      </c>
      <c r="F549" s="94">
        <v>8.0007358350000004</v>
      </c>
      <c r="G549" s="95">
        <v>24.93</v>
      </c>
      <c r="H549" s="147">
        <f t="shared" si="52"/>
        <v>199.45834436654999</v>
      </c>
    </row>
    <row r="550" spans="2:8">
      <c r="B550" s="630" t="s">
        <v>1232</v>
      </c>
      <c r="C550" s="631"/>
      <c r="D550" s="631"/>
      <c r="E550" s="631"/>
      <c r="F550" s="631"/>
      <c r="G550" s="632"/>
      <c r="H550" s="148">
        <f>SUM(H533:H549)</f>
        <v>2750.465037363716</v>
      </c>
    </row>
    <row r="551" spans="2:8">
      <c r="B551" s="621"/>
      <c r="C551" s="622"/>
      <c r="D551" s="622"/>
      <c r="E551" s="622"/>
      <c r="F551" s="622"/>
      <c r="G551" s="622"/>
      <c r="H551" s="623"/>
    </row>
    <row r="552" spans="2:8" ht="38.25">
      <c r="B552" s="139" t="s">
        <v>2001</v>
      </c>
      <c r="C552" s="140" t="s">
        <v>374</v>
      </c>
      <c r="D552" s="141" t="s">
        <v>12</v>
      </c>
      <c r="E552" s="141" t="s">
        <v>37</v>
      </c>
      <c r="F552" s="142"/>
      <c r="G552" s="143"/>
      <c r="H552" s="144"/>
    </row>
    <row r="553" spans="2:8" ht="25.5">
      <c r="B553" s="145" t="s">
        <v>1436</v>
      </c>
      <c r="C553" s="98" t="s">
        <v>1437</v>
      </c>
      <c r="D553" s="99" t="s">
        <v>401</v>
      </c>
      <c r="E553" s="99" t="s">
        <v>112</v>
      </c>
      <c r="F553" s="94">
        <v>8.0507936509999993</v>
      </c>
      <c r="G553" s="95">
        <f t="shared" ref="G553:G559" si="53">6.3*1.2217</f>
        <v>7.6967099999999995</v>
      </c>
      <c r="H553" s="147">
        <f>F553*G553</f>
        <v>61.964624001588199</v>
      </c>
    </row>
    <row r="554" spans="2:8" ht="25.5">
      <c r="B554" s="145" t="s">
        <v>1438</v>
      </c>
      <c r="C554" s="98" t="s">
        <v>1439</v>
      </c>
      <c r="D554" s="99" t="s">
        <v>401</v>
      </c>
      <c r="E554" s="99" t="s">
        <v>112</v>
      </c>
      <c r="F554" s="94">
        <v>7.4</v>
      </c>
      <c r="G554" s="95">
        <f t="shared" si="53"/>
        <v>7.6967099999999995</v>
      </c>
      <c r="H554" s="147">
        <f t="shared" ref="H554:H569" si="54">F554*G554</f>
        <v>56.955653999999996</v>
      </c>
    </row>
    <row r="555" spans="2:8" ht="25.5">
      <c r="B555" s="145" t="s">
        <v>1444</v>
      </c>
      <c r="C555" s="98" t="s">
        <v>1445</v>
      </c>
      <c r="D555" s="99" t="s">
        <v>401</v>
      </c>
      <c r="E555" s="99" t="s">
        <v>112</v>
      </c>
      <c r="F555" s="94">
        <v>2.1507936509999999</v>
      </c>
      <c r="G555" s="95">
        <f t="shared" si="53"/>
        <v>7.6967099999999995</v>
      </c>
      <c r="H555" s="147">
        <f t="shared" si="54"/>
        <v>16.554035001588208</v>
      </c>
    </row>
    <row r="556" spans="2:8" ht="25.5">
      <c r="B556" s="145" t="s">
        <v>1446</v>
      </c>
      <c r="C556" s="98" t="s">
        <v>1447</v>
      </c>
      <c r="D556" s="99" t="s">
        <v>401</v>
      </c>
      <c r="E556" s="99" t="s">
        <v>112</v>
      </c>
      <c r="F556" s="94">
        <v>5.0301587300000001</v>
      </c>
      <c r="G556" s="95">
        <f t="shared" si="53"/>
        <v>7.6967099999999995</v>
      </c>
      <c r="H556" s="147">
        <f t="shared" si="54"/>
        <v>38.715672998778295</v>
      </c>
    </row>
    <row r="557" spans="2:8" ht="25.5">
      <c r="B557" s="145" t="s">
        <v>1448</v>
      </c>
      <c r="C557" s="98" t="s">
        <v>1449</v>
      </c>
      <c r="D557" s="99" t="s">
        <v>401</v>
      </c>
      <c r="E557" s="99" t="s">
        <v>112</v>
      </c>
      <c r="F557" s="94">
        <v>2.2000000000000002</v>
      </c>
      <c r="G557" s="95">
        <f t="shared" si="53"/>
        <v>7.6967099999999995</v>
      </c>
      <c r="H557" s="147">
        <f t="shared" si="54"/>
        <v>16.932762</v>
      </c>
    </row>
    <row r="558" spans="2:8" ht="25.5">
      <c r="B558" s="145" t="s">
        <v>1450</v>
      </c>
      <c r="C558" s="98" t="s">
        <v>1451</v>
      </c>
      <c r="D558" s="99" t="s">
        <v>401</v>
      </c>
      <c r="E558" s="99" t="s">
        <v>112</v>
      </c>
      <c r="F558" s="94">
        <v>12.050793650999999</v>
      </c>
      <c r="G558" s="95">
        <f t="shared" si="53"/>
        <v>7.6967099999999995</v>
      </c>
      <c r="H558" s="147">
        <f t="shared" si="54"/>
        <v>92.751464001588204</v>
      </c>
    </row>
    <row r="559" spans="2:8" ht="25.5">
      <c r="B559" s="145" t="s">
        <v>1472</v>
      </c>
      <c r="C559" s="98" t="s">
        <v>1473</v>
      </c>
      <c r="D559" s="99" t="s">
        <v>401</v>
      </c>
      <c r="E559" s="99" t="s">
        <v>112</v>
      </c>
      <c r="F559" s="94">
        <v>3.4</v>
      </c>
      <c r="G559" s="95">
        <f t="shared" si="53"/>
        <v>7.6967099999999995</v>
      </c>
      <c r="H559" s="147">
        <f t="shared" si="54"/>
        <v>26.168813999999998</v>
      </c>
    </row>
    <row r="560" spans="2:8">
      <c r="B560" s="145" t="s">
        <v>1452</v>
      </c>
      <c r="C560" s="98" t="s">
        <v>1453</v>
      </c>
      <c r="D560" s="99" t="s">
        <v>401</v>
      </c>
      <c r="E560" s="99" t="s">
        <v>1454</v>
      </c>
      <c r="F560" s="94">
        <v>4</v>
      </c>
      <c r="G560" s="95">
        <f>45.28*1.2217</f>
        <v>55.318576</v>
      </c>
      <c r="H560" s="147">
        <f t="shared" si="54"/>
        <v>221.274304</v>
      </c>
    </row>
    <row r="561" spans="2:8">
      <c r="B561" s="145" t="s">
        <v>1455</v>
      </c>
      <c r="C561" s="98" t="s">
        <v>1456</v>
      </c>
      <c r="D561" s="99" t="s">
        <v>401</v>
      </c>
      <c r="E561" s="99" t="s">
        <v>37</v>
      </c>
      <c r="F561" s="94">
        <v>2</v>
      </c>
      <c r="G561" s="95">
        <f>49.4*1.2217</f>
        <v>60.351979999999998</v>
      </c>
      <c r="H561" s="147">
        <f t="shared" si="54"/>
        <v>120.70396</v>
      </c>
    </row>
    <row r="562" spans="2:8" ht="25.5">
      <c r="B562" s="145">
        <v>11002</v>
      </c>
      <c r="C562" s="98" t="s">
        <v>1457</v>
      </c>
      <c r="D562" s="99" t="s">
        <v>401</v>
      </c>
      <c r="E562" s="99" t="s">
        <v>112</v>
      </c>
      <c r="F562" s="94">
        <v>0.4</v>
      </c>
      <c r="G562" s="95">
        <v>28.71</v>
      </c>
      <c r="H562" s="147">
        <f t="shared" si="54"/>
        <v>11.484000000000002</v>
      </c>
    </row>
    <row r="563" spans="2:8" ht="38.25">
      <c r="B563" s="145">
        <v>11058</v>
      </c>
      <c r="C563" s="98" t="s">
        <v>1458</v>
      </c>
      <c r="D563" s="99" t="s">
        <v>401</v>
      </c>
      <c r="E563" s="99" t="s">
        <v>37</v>
      </c>
      <c r="F563" s="94">
        <v>4</v>
      </c>
      <c r="G563" s="95">
        <v>0.44</v>
      </c>
      <c r="H563" s="147">
        <f t="shared" si="54"/>
        <v>1.76</v>
      </c>
    </row>
    <row r="564" spans="2:8" ht="25.5">
      <c r="B564" s="145">
        <v>20259</v>
      </c>
      <c r="C564" s="98" t="s">
        <v>1460</v>
      </c>
      <c r="D564" s="99" t="s">
        <v>401</v>
      </c>
      <c r="E564" s="99" t="s">
        <v>15</v>
      </c>
      <c r="F564" s="94">
        <v>10.8</v>
      </c>
      <c r="G564" s="95">
        <v>17.34</v>
      </c>
      <c r="H564" s="147">
        <f t="shared" si="54"/>
        <v>187.27200000000002</v>
      </c>
    </row>
    <row r="565" spans="2:8" ht="38.25">
      <c r="B565" s="145">
        <v>40552</v>
      </c>
      <c r="C565" s="98" t="s">
        <v>1462</v>
      </c>
      <c r="D565" s="99" t="s">
        <v>401</v>
      </c>
      <c r="E565" s="99" t="s">
        <v>1398</v>
      </c>
      <c r="F565" s="94">
        <v>0.1</v>
      </c>
      <c r="G565" s="95">
        <v>44.37</v>
      </c>
      <c r="H565" s="147">
        <f t="shared" si="54"/>
        <v>4.4370000000000003</v>
      </c>
    </row>
    <row r="566" spans="2:8" ht="38.25">
      <c r="B566" s="145" t="s">
        <v>1463</v>
      </c>
      <c r="C566" s="98" t="s">
        <v>1464</v>
      </c>
      <c r="D566" s="99" t="s">
        <v>12</v>
      </c>
      <c r="E566" s="99" t="s">
        <v>24</v>
      </c>
      <c r="F566" s="94">
        <v>2.2501583279999999</v>
      </c>
      <c r="G566" s="95">
        <f>15.79*1.2217</f>
        <v>19.290642999999999</v>
      </c>
      <c r="H566" s="147">
        <f t="shared" si="54"/>
        <v>43.4070009989249</v>
      </c>
    </row>
    <row r="567" spans="2:8" ht="51">
      <c r="B567" s="145">
        <v>7568</v>
      </c>
      <c r="C567" s="98" t="s">
        <v>1465</v>
      </c>
      <c r="D567" s="99" t="s">
        <v>401</v>
      </c>
      <c r="E567" s="99" t="s">
        <v>37</v>
      </c>
      <c r="F567" s="94">
        <v>4</v>
      </c>
      <c r="G567" s="95">
        <v>0.98</v>
      </c>
      <c r="H567" s="147">
        <f t="shared" si="54"/>
        <v>3.92</v>
      </c>
    </row>
    <row r="568" spans="2:8" ht="25.5">
      <c r="B568" s="145" t="s">
        <v>1356</v>
      </c>
      <c r="C568" s="98" t="s">
        <v>1357</v>
      </c>
      <c r="D568" s="99" t="s">
        <v>12</v>
      </c>
      <c r="E568" s="99" t="s">
        <v>1129</v>
      </c>
      <c r="F568" s="94">
        <v>4</v>
      </c>
      <c r="G568" s="95">
        <v>22.06</v>
      </c>
      <c r="H568" s="147">
        <f t="shared" si="54"/>
        <v>88.24</v>
      </c>
    </row>
    <row r="569" spans="2:8" ht="25.5">
      <c r="B569" s="145" t="s">
        <v>1391</v>
      </c>
      <c r="C569" s="98" t="s">
        <v>1392</v>
      </c>
      <c r="D569" s="99" t="s">
        <v>12</v>
      </c>
      <c r="E569" s="99" t="s">
        <v>1129</v>
      </c>
      <c r="F569" s="94">
        <v>4.0007358350000004</v>
      </c>
      <c r="G569" s="95">
        <v>24.93</v>
      </c>
      <c r="H569" s="147">
        <f t="shared" si="54"/>
        <v>99.73834436655001</v>
      </c>
    </row>
    <row r="570" spans="2:8">
      <c r="B570" s="630" t="s">
        <v>1232</v>
      </c>
      <c r="C570" s="631"/>
      <c r="D570" s="631"/>
      <c r="E570" s="631"/>
      <c r="F570" s="631"/>
      <c r="G570" s="632"/>
      <c r="H570" s="148">
        <f>SUM(H553:H569)</f>
        <v>1092.2796353690178</v>
      </c>
    </row>
    <row r="571" spans="2:8">
      <c r="B571" s="627"/>
      <c r="C571" s="628"/>
      <c r="D571" s="628"/>
      <c r="E571" s="628"/>
      <c r="F571" s="628"/>
      <c r="G571" s="628"/>
      <c r="H571" s="629"/>
    </row>
    <row r="572" spans="2:8" ht="38.25">
      <c r="B572" s="139" t="s">
        <v>2002</v>
      </c>
      <c r="C572" s="140" t="s">
        <v>375</v>
      </c>
      <c r="D572" s="141" t="s">
        <v>12</v>
      </c>
      <c r="E572" s="141" t="s">
        <v>37</v>
      </c>
      <c r="F572" s="142"/>
      <c r="G572" s="143"/>
      <c r="H572" s="144"/>
    </row>
    <row r="573" spans="2:8" ht="25.5">
      <c r="B573" s="145" t="s">
        <v>1436</v>
      </c>
      <c r="C573" s="98" t="s">
        <v>1437</v>
      </c>
      <c r="D573" s="99" t="s">
        <v>401</v>
      </c>
      <c r="E573" s="99" t="s">
        <v>112</v>
      </c>
      <c r="F573" s="94">
        <v>32.200000000000003</v>
      </c>
      <c r="G573" s="95">
        <f t="shared" ref="G573:G579" si="55">6.3*1.2217</f>
        <v>7.6967099999999995</v>
      </c>
      <c r="H573" s="147">
        <f>F573*G573</f>
        <v>247.83406200000002</v>
      </c>
    </row>
    <row r="574" spans="2:8" ht="25.5">
      <c r="B574" s="145" t="s">
        <v>1438</v>
      </c>
      <c r="C574" s="98" t="s">
        <v>1439</v>
      </c>
      <c r="D574" s="99" t="s">
        <v>401</v>
      </c>
      <c r="E574" s="99" t="s">
        <v>112</v>
      </c>
      <c r="F574" s="94">
        <v>24.9</v>
      </c>
      <c r="G574" s="95">
        <f t="shared" si="55"/>
        <v>7.6967099999999995</v>
      </c>
      <c r="H574" s="147">
        <f t="shared" ref="H574:H589" si="56">F574*G574</f>
        <v>191.64807899999997</v>
      </c>
    </row>
    <row r="575" spans="2:8" ht="25.5">
      <c r="B575" s="145" t="s">
        <v>1444</v>
      </c>
      <c r="C575" s="98" t="s">
        <v>1445</v>
      </c>
      <c r="D575" s="99" t="s">
        <v>401</v>
      </c>
      <c r="E575" s="99" t="s">
        <v>112</v>
      </c>
      <c r="F575" s="94">
        <v>6.2904761899999997</v>
      </c>
      <c r="G575" s="95">
        <f t="shared" si="55"/>
        <v>7.6967099999999995</v>
      </c>
      <c r="H575" s="147">
        <f t="shared" si="56"/>
        <v>48.415970996334892</v>
      </c>
    </row>
    <row r="576" spans="2:8" ht="25.5">
      <c r="B576" s="145" t="s">
        <v>1446</v>
      </c>
      <c r="C576" s="98" t="s">
        <v>1447</v>
      </c>
      <c r="D576" s="99" t="s">
        <v>401</v>
      </c>
      <c r="E576" s="99" t="s">
        <v>112</v>
      </c>
      <c r="F576" s="94">
        <v>9.5301587300000001</v>
      </c>
      <c r="G576" s="95">
        <f t="shared" si="55"/>
        <v>7.6967099999999995</v>
      </c>
      <c r="H576" s="147">
        <f t="shared" si="56"/>
        <v>73.350867998778298</v>
      </c>
    </row>
    <row r="577" spans="2:8" ht="25.5">
      <c r="B577" s="145" t="s">
        <v>1448</v>
      </c>
      <c r="C577" s="98" t="s">
        <v>1449</v>
      </c>
      <c r="D577" s="99" t="s">
        <v>401</v>
      </c>
      <c r="E577" s="99" t="s">
        <v>112</v>
      </c>
      <c r="F577" s="94">
        <v>5.4</v>
      </c>
      <c r="G577" s="95">
        <f t="shared" si="55"/>
        <v>7.6967099999999995</v>
      </c>
      <c r="H577" s="147">
        <f t="shared" si="56"/>
        <v>41.562233999999997</v>
      </c>
    </row>
    <row r="578" spans="2:8" ht="25.5">
      <c r="B578" s="145" t="s">
        <v>1450</v>
      </c>
      <c r="C578" s="98" t="s">
        <v>1451</v>
      </c>
      <c r="D578" s="99" t="s">
        <v>401</v>
      </c>
      <c r="E578" s="99" t="s">
        <v>112</v>
      </c>
      <c r="F578" s="94">
        <v>21.160317460000002</v>
      </c>
      <c r="G578" s="95">
        <f t="shared" si="55"/>
        <v>7.6967099999999995</v>
      </c>
      <c r="H578" s="147">
        <f t="shared" si="56"/>
        <v>162.86482699755661</v>
      </c>
    </row>
    <row r="579" spans="2:8" ht="25.5">
      <c r="B579" s="145" t="s">
        <v>1472</v>
      </c>
      <c r="C579" s="98" t="s">
        <v>1473</v>
      </c>
      <c r="D579" s="99" t="s">
        <v>401</v>
      </c>
      <c r="E579" s="99" t="s">
        <v>112</v>
      </c>
      <c r="F579" s="94">
        <v>9</v>
      </c>
      <c r="G579" s="95">
        <f t="shared" si="55"/>
        <v>7.6967099999999995</v>
      </c>
      <c r="H579" s="147">
        <f t="shared" si="56"/>
        <v>69.270389999999992</v>
      </c>
    </row>
    <row r="580" spans="2:8">
      <c r="B580" s="145" t="s">
        <v>1452</v>
      </c>
      <c r="C580" s="98" t="s">
        <v>1453</v>
      </c>
      <c r="D580" s="99" t="s">
        <v>401</v>
      </c>
      <c r="E580" s="99" t="s">
        <v>1454</v>
      </c>
      <c r="F580" s="94">
        <v>10</v>
      </c>
      <c r="G580" s="95">
        <f>45.28*1.2217</f>
        <v>55.318576</v>
      </c>
      <c r="H580" s="147">
        <f t="shared" si="56"/>
        <v>553.18575999999996</v>
      </c>
    </row>
    <row r="581" spans="2:8">
      <c r="B581" s="145" t="s">
        <v>1455</v>
      </c>
      <c r="C581" s="98" t="s">
        <v>1456</v>
      </c>
      <c r="D581" s="99" t="s">
        <v>401</v>
      </c>
      <c r="E581" s="99" t="s">
        <v>37</v>
      </c>
      <c r="F581" s="94">
        <v>5</v>
      </c>
      <c r="G581" s="95">
        <f>49.4*1.2217</f>
        <v>60.351979999999998</v>
      </c>
      <c r="H581" s="147">
        <f t="shared" si="56"/>
        <v>301.75990000000002</v>
      </c>
    </row>
    <row r="582" spans="2:8" ht="25.5">
      <c r="B582" s="145">
        <v>11002</v>
      </c>
      <c r="C582" s="98" t="s">
        <v>1457</v>
      </c>
      <c r="D582" s="99" t="s">
        <v>401</v>
      </c>
      <c r="E582" s="99" t="s">
        <v>112</v>
      </c>
      <c r="F582" s="94">
        <v>0.8</v>
      </c>
      <c r="G582" s="95">
        <v>28.71</v>
      </c>
      <c r="H582" s="147">
        <f t="shared" si="56"/>
        <v>22.968000000000004</v>
      </c>
    </row>
    <row r="583" spans="2:8" ht="38.25">
      <c r="B583" s="145">
        <v>11058</v>
      </c>
      <c r="C583" s="98" t="s">
        <v>1458</v>
      </c>
      <c r="D583" s="99" t="s">
        <v>401</v>
      </c>
      <c r="E583" s="99" t="s">
        <v>37</v>
      </c>
      <c r="F583" s="94">
        <v>12</v>
      </c>
      <c r="G583" s="95">
        <v>0.44</v>
      </c>
      <c r="H583" s="147">
        <f t="shared" si="56"/>
        <v>5.28</v>
      </c>
    </row>
    <row r="584" spans="2:8" ht="25.5">
      <c r="B584" s="145">
        <v>20259</v>
      </c>
      <c r="C584" s="98" t="s">
        <v>1460</v>
      </c>
      <c r="D584" s="99" t="s">
        <v>401</v>
      </c>
      <c r="E584" s="99" t="s">
        <v>15</v>
      </c>
      <c r="F584" s="94">
        <v>28.5</v>
      </c>
      <c r="G584" s="95">
        <v>17.34</v>
      </c>
      <c r="H584" s="147">
        <f t="shared" si="56"/>
        <v>494.19</v>
      </c>
    </row>
    <row r="585" spans="2:8" ht="38.25">
      <c r="B585" s="145">
        <v>40552</v>
      </c>
      <c r="C585" s="98" t="s">
        <v>1462</v>
      </c>
      <c r="D585" s="99" t="s">
        <v>401</v>
      </c>
      <c r="E585" s="99" t="s">
        <v>1398</v>
      </c>
      <c r="F585" s="94">
        <v>0.25</v>
      </c>
      <c r="G585" s="95">
        <v>44.37</v>
      </c>
      <c r="H585" s="147">
        <f t="shared" si="56"/>
        <v>11.092499999999999</v>
      </c>
    </row>
    <row r="586" spans="2:8" ht="38.25">
      <c r="B586" s="145" t="s">
        <v>1463</v>
      </c>
      <c r="C586" s="98" t="s">
        <v>1464</v>
      </c>
      <c r="D586" s="99" t="s">
        <v>12</v>
      </c>
      <c r="E586" s="99" t="s">
        <v>24</v>
      </c>
      <c r="F586" s="94">
        <v>6.1602279920000003</v>
      </c>
      <c r="G586" s="95">
        <f>15.79*1.2217</f>
        <v>19.290642999999999</v>
      </c>
      <c r="H586" s="147">
        <f t="shared" si="56"/>
        <v>118.83475899227885</v>
      </c>
    </row>
    <row r="587" spans="2:8" ht="51">
      <c r="B587" s="145">
        <v>7568</v>
      </c>
      <c r="C587" s="98" t="s">
        <v>1465</v>
      </c>
      <c r="D587" s="99" t="s">
        <v>401</v>
      </c>
      <c r="E587" s="99" t="s">
        <v>37</v>
      </c>
      <c r="F587" s="94">
        <v>5</v>
      </c>
      <c r="G587" s="95">
        <v>0.98</v>
      </c>
      <c r="H587" s="147">
        <f t="shared" si="56"/>
        <v>4.9000000000000004</v>
      </c>
    </row>
    <row r="588" spans="2:8" ht="25.5">
      <c r="B588" s="145" t="s">
        <v>1356</v>
      </c>
      <c r="C588" s="98" t="s">
        <v>1357</v>
      </c>
      <c r="D588" s="99" t="s">
        <v>12</v>
      </c>
      <c r="E588" s="99" t="s">
        <v>1129</v>
      </c>
      <c r="F588" s="94">
        <v>8</v>
      </c>
      <c r="G588" s="95">
        <v>22.06</v>
      </c>
      <c r="H588" s="147">
        <f t="shared" si="56"/>
        <v>176.48</v>
      </c>
    </row>
    <row r="589" spans="2:8" ht="25.5">
      <c r="B589" s="145" t="s">
        <v>1391</v>
      </c>
      <c r="C589" s="98" t="s">
        <v>1392</v>
      </c>
      <c r="D589" s="99" t="s">
        <v>12</v>
      </c>
      <c r="E589" s="99" t="s">
        <v>1129</v>
      </c>
      <c r="F589" s="94">
        <v>8.0007358350000004</v>
      </c>
      <c r="G589" s="95">
        <v>24.93</v>
      </c>
      <c r="H589" s="147">
        <f t="shared" si="56"/>
        <v>199.45834436654999</v>
      </c>
    </row>
    <row r="590" spans="2:8">
      <c r="B590" s="630" t="s">
        <v>1232</v>
      </c>
      <c r="C590" s="631"/>
      <c r="D590" s="631"/>
      <c r="E590" s="631"/>
      <c r="F590" s="631"/>
      <c r="G590" s="632"/>
      <c r="H590" s="148">
        <f>SUM(H573:H589)</f>
        <v>2723.0956943514989</v>
      </c>
    </row>
    <row r="591" spans="2:8">
      <c r="B591" s="621"/>
      <c r="C591" s="622"/>
      <c r="D591" s="622"/>
      <c r="E591" s="622"/>
      <c r="F591" s="622"/>
      <c r="G591" s="622"/>
      <c r="H591" s="623"/>
    </row>
    <row r="592" spans="2:8" ht="51">
      <c r="B592" s="139" t="s">
        <v>2003</v>
      </c>
      <c r="C592" s="140" t="s">
        <v>376</v>
      </c>
      <c r="D592" s="141" t="s">
        <v>12</v>
      </c>
      <c r="E592" s="141" t="s">
        <v>37</v>
      </c>
      <c r="F592" s="142"/>
      <c r="G592" s="143"/>
      <c r="H592" s="144"/>
    </row>
    <row r="593" spans="2:8" ht="25.5">
      <c r="B593" s="145" t="s">
        <v>1436</v>
      </c>
      <c r="C593" s="98" t="s">
        <v>1437</v>
      </c>
      <c r="D593" s="99" t="s">
        <v>401</v>
      </c>
      <c r="E593" s="99" t="s">
        <v>112</v>
      </c>
      <c r="F593" s="94">
        <v>32.200000000000003</v>
      </c>
      <c r="G593" s="95">
        <f t="shared" ref="G593:G600" si="57">6.3*1.2217</f>
        <v>7.6967099999999995</v>
      </c>
      <c r="H593" s="147">
        <f>F593*G593</f>
        <v>247.83406200000002</v>
      </c>
    </row>
    <row r="594" spans="2:8" ht="25.5">
      <c r="B594" s="145" t="s">
        <v>1470</v>
      </c>
      <c r="C594" s="98" t="s">
        <v>1471</v>
      </c>
      <c r="D594" s="99" t="s">
        <v>401</v>
      </c>
      <c r="E594" s="99" t="s">
        <v>112</v>
      </c>
      <c r="F594" s="94">
        <v>20.43968254</v>
      </c>
      <c r="G594" s="95">
        <f t="shared" si="57"/>
        <v>7.6967099999999995</v>
      </c>
      <c r="H594" s="147">
        <f t="shared" ref="H594:H609" si="58">F594*G594</f>
        <v>157.31830900244339</v>
      </c>
    </row>
    <row r="595" spans="2:8" ht="25.5">
      <c r="B595" s="145" t="s">
        <v>1472</v>
      </c>
      <c r="C595" s="98" t="s">
        <v>1473</v>
      </c>
      <c r="D595" s="99" t="s">
        <v>401</v>
      </c>
      <c r="E595" s="99" t="s">
        <v>112</v>
      </c>
      <c r="F595" s="94">
        <v>8.7507936510000004</v>
      </c>
      <c r="G595" s="95">
        <f t="shared" si="57"/>
        <v>7.6967099999999995</v>
      </c>
      <c r="H595" s="147">
        <f t="shared" si="58"/>
        <v>67.352321001588209</v>
      </c>
    </row>
    <row r="596" spans="2:8" ht="38.25">
      <c r="B596" s="145" t="s">
        <v>1474</v>
      </c>
      <c r="C596" s="98" t="s">
        <v>1475</v>
      </c>
      <c r="D596" s="99" t="s">
        <v>401</v>
      </c>
      <c r="E596" s="99" t="s">
        <v>112</v>
      </c>
      <c r="F596" s="94">
        <v>23.520634920999999</v>
      </c>
      <c r="G596" s="95">
        <f t="shared" si="57"/>
        <v>7.6967099999999995</v>
      </c>
      <c r="H596" s="147">
        <f t="shared" si="58"/>
        <v>181.03150600280989</v>
      </c>
    </row>
    <row r="597" spans="2:8" ht="38.25">
      <c r="B597" s="145" t="s">
        <v>1476</v>
      </c>
      <c r="C597" s="98" t="s">
        <v>1477</v>
      </c>
      <c r="D597" s="99" t="s">
        <v>401</v>
      </c>
      <c r="E597" s="99" t="s">
        <v>112</v>
      </c>
      <c r="F597" s="94">
        <v>2.7698412700000001</v>
      </c>
      <c r="G597" s="95">
        <f t="shared" si="57"/>
        <v>7.6967099999999995</v>
      </c>
      <c r="H597" s="147">
        <f t="shared" si="58"/>
        <v>21.318665001221699</v>
      </c>
    </row>
    <row r="598" spans="2:8" ht="38.25">
      <c r="B598" s="145" t="s">
        <v>1423</v>
      </c>
      <c r="C598" s="98" t="s">
        <v>1424</v>
      </c>
      <c r="D598" s="99" t="s">
        <v>401</v>
      </c>
      <c r="E598" s="99" t="s">
        <v>112</v>
      </c>
      <c r="F598" s="94">
        <v>2.2698412700000001</v>
      </c>
      <c r="G598" s="95">
        <f t="shared" si="57"/>
        <v>7.6967099999999995</v>
      </c>
      <c r="H598" s="147">
        <f t="shared" si="58"/>
        <v>17.470310001221701</v>
      </c>
    </row>
    <row r="599" spans="2:8" ht="38.25">
      <c r="B599" s="145" t="s">
        <v>1478</v>
      </c>
      <c r="C599" s="98" t="s">
        <v>1479</v>
      </c>
      <c r="D599" s="99" t="s">
        <v>401</v>
      </c>
      <c r="E599" s="99" t="s">
        <v>112</v>
      </c>
      <c r="F599" s="94">
        <v>11.520634920999999</v>
      </c>
      <c r="G599" s="95">
        <f t="shared" si="57"/>
        <v>7.6967099999999995</v>
      </c>
      <c r="H599" s="147">
        <f t="shared" si="58"/>
        <v>88.670986002809897</v>
      </c>
    </row>
    <row r="600" spans="2:8" ht="38.25">
      <c r="B600" s="145" t="s">
        <v>1480</v>
      </c>
      <c r="C600" s="98" t="s">
        <v>1481</v>
      </c>
      <c r="D600" s="99" t="s">
        <v>401</v>
      </c>
      <c r="E600" s="99" t="s">
        <v>112</v>
      </c>
      <c r="F600" s="94">
        <v>19.930158729999999</v>
      </c>
      <c r="G600" s="95">
        <f t="shared" si="57"/>
        <v>7.6967099999999995</v>
      </c>
      <c r="H600" s="147">
        <f t="shared" si="58"/>
        <v>153.39665199877828</v>
      </c>
    </row>
    <row r="601" spans="2:8" ht="25.5">
      <c r="B601" s="145">
        <v>11002</v>
      </c>
      <c r="C601" s="98" t="s">
        <v>1457</v>
      </c>
      <c r="D601" s="99" t="s">
        <v>401</v>
      </c>
      <c r="E601" s="99" t="s">
        <v>112</v>
      </c>
      <c r="F601" s="94">
        <v>0.2</v>
      </c>
      <c r="G601" s="95">
        <v>28.71</v>
      </c>
      <c r="H601" s="147">
        <f t="shared" si="58"/>
        <v>5.7420000000000009</v>
      </c>
    </row>
    <row r="602" spans="2:8" ht="38.25">
      <c r="B602" s="145">
        <v>11058</v>
      </c>
      <c r="C602" s="98" t="s">
        <v>1458</v>
      </c>
      <c r="D602" s="99" t="s">
        <v>401</v>
      </c>
      <c r="E602" s="99" t="s">
        <v>37</v>
      </c>
      <c r="F602" s="94">
        <v>6</v>
      </c>
      <c r="G602" s="95">
        <v>0.44</v>
      </c>
      <c r="H602" s="147">
        <f t="shared" si="58"/>
        <v>2.64</v>
      </c>
    </row>
    <row r="603" spans="2:8" ht="25.5">
      <c r="B603" s="145">
        <v>20259</v>
      </c>
      <c r="C603" s="98" t="s">
        <v>1460</v>
      </c>
      <c r="D603" s="99" t="s">
        <v>401</v>
      </c>
      <c r="E603" s="99" t="s">
        <v>15</v>
      </c>
      <c r="F603" s="94">
        <v>39.799999999999997</v>
      </c>
      <c r="G603" s="95">
        <v>17.34</v>
      </c>
      <c r="H603" s="147">
        <f t="shared" si="58"/>
        <v>690.13199999999995</v>
      </c>
    </row>
    <row r="604" spans="2:8" ht="63.75">
      <c r="B604" s="145">
        <v>38165</v>
      </c>
      <c r="C604" s="98" t="s">
        <v>1482</v>
      </c>
      <c r="D604" s="99" t="s">
        <v>401</v>
      </c>
      <c r="E604" s="99" t="s">
        <v>663</v>
      </c>
      <c r="F604" s="94">
        <v>1</v>
      </c>
      <c r="G604" s="95">
        <v>67.760000000000005</v>
      </c>
      <c r="H604" s="147">
        <f t="shared" si="58"/>
        <v>67.760000000000005</v>
      </c>
    </row>
    <row r="605" spans="2:8" ht="38.25">
      <c r="B605" s="145">
        <v>40552</v>
      </c>
      <c r="C605" s="98" t="s">
        <v>1462</v>
      </c>
      <c r="D605" s="99" t="s">
        <v>401</v>
      </c>
      <c r="E605" s="99" t="s">
        <v>1398</v>
      </c>
      <c r="F605" s="94">
        <v>0.15</v>
      </c>
      <c r="G605" s="95">
        <v>44.37</v>
      </c>
      <c r="H605" s="147">
        <f t="shared" si="58"/>
        <v>6.6554999999999991</v>
      </c>
    </row>
    <row r="606" spans="2:8" ht="38.25">
      <c r="B606" s="145" t="s">
        <v>1463</v>
      </c>
      <c r="C606" s="98" t="s">
        <v>1464</v>
      </c>
      <c r="D606" s="99" t="s">
        <v>12</v>
      </c>
      <c r="E606" s="99" t="s">
        <v>24</v>
      </c>
      <c r="F606" s="94">
        <v>5.1602227919999999</v>
      </c>
      <c r="G606" s="95">
        <f>15.79*1.2217</f>
        <v>19.290642999999999</v>
      </c>
      <c r="H606" s="147">
        <f t="shared" si="58"/>
        <v>99.544015680935246</v>
      </c>
    </row>
    <row r="607" spans="2:8" ht="51">
      <c r="B607" s="145">
        <v>7568</v>
      </c>
      <c r="C607" s="98" t="s">
        <v>1465</v>
      </c>
      <c r="D607" s="99" t="s">
        <v>401</v>
      </c>
      <c r="E607" s="99" t="s">
        <v>37</v>
      </c>
      <c r="F607" s="94">
        <v>6</v>
      </c>
      <c r="G607" s="95">
        <v>0.98</v>
      </c>
      <c r="H607" s="147">
        <f t="shared" si="58"/>
        <v>5.88</v>
      </c>
    </row>
    <row r="608" spans="2:8" ht="25.5">
      <c r="B608" s="145" t="s">
        <v>1356</v>
      </c>
      <c r="C608" s="98" t="s">
        <v>1357</v>
      </c>
      <c r="D608" s="99" t="s">
        <v>12</v>
      </c>
      <c r="E608" s="99" t="s">
        <v>1129</v>
      </c>
      <c r="F608" s="94">
        <v>12.000811688000001</v>
      </c>
      <c r="G608" s="95">
        <v>22.06</v>
      </c>
      <c r="H608" s="147">
        <f t="shared" si="58"/>
        <v>264.73790583727998</v>
      </c>
    </row>
    <row r="609" spans="2:8" ht="25.5">
      <c r="B609" s="145" t="s">
        <v>1391</v>
      </c>
      <c r="C609" s="98" t="s">
        <v>1392</v>
      </c>
      <c r="D609" s="99" t="s">
        <v>12</v>
      </c>
      <c r="E609" s="99" t="s">
        <v>1129</v>
      </c>
      <c r="F609" s="94">
        <v>12.001461669999999</v>
      </c>
      <c r="G609" s="95">
        <v>24.93</v>
      </c>
      <c r="H609" s="147">
        <f t="shared" si="58"/>
        <v>299.19643943309995</v>
      </c>
    </row>
    <row r="610" spans="2:8">
      <c r="B610" s="630" t="s">
        <v>1232</v>
      </c>
      <c r="C610" s="631"/>
      <c r="D610" s="631"/>
      <c r="E610" s="631"/>
      <c r="F610" s="631"/>
      <c r="G610" s="632"/>
      <c r="H610" s="148">
        <f>SUM(H593:H609)</f>
        <v>2376.6806719621882</v>
      </c>
    </row>
    <row r="611" spans="2:8">
      <c r="B611" s="621"/>
      <c r="C611" s="622"/>
      <c r="D611" s="622"/>
      <c r="E611" s="622"/>
      <c r="F611" s="622"/>
      <c r="G611" s="622"/>
      <c r="H611" s="623"/>
    </row>
    <row r="612" spans="2:8" ht="25.5">
      <c r="B612" s="139" t="s">
        <v>2004</v>
      </c>
      <c r="C612" s="140" t="s">
        <v>379</v>
      </c>
      <c r="D612" s="141" t="s">
        <v>12</v>
      </c>
      <c r="E612" s="141" t="s">
        <v>24</v>
      </c>
      <c r="F612" s="142"/>
      <c r="G612" s="143"/>
      <c r="H612" s="144"/>
    </row>
    <row r="613" spans="2:8" ht="38.25">
      <c r="B613" s="145">
        <v>142</v>
      </c>
      <c r="C613" s="98" t="s">
        <v>1484</v>
      </c>
      <c r="D613" s="99" t="s">
        <v>401</v>
      </c>
      <c r="E613" s="99" t="s">
        <v>1485</v>
      </c>
      <c r="F613" s="94" t="s">
        <v>1486</v>
      </c>
      <c r="G613" s="95">
        <v>37.549999999999997</v>
      </c>
      <c r="H613" s="147">
        <f>F613*G613</f>
        <v>31.917499999999997</v>
      </c>
    </row>
    <row r="614" spans="2:8" ht="63.75">
      <c r="B614" s="145">
        <v>39022</v>
      </c>
      <c r="C614" s="98" t="s">
        <v>1487</v>
      </c>
      <c r="D614" s="99" t="s">
        <v>401</v>
      </c>
      <c r="E614" s="99" t="s">
        <v>37</v>
      </c>
      <c r="F614" s="94" t="s">
        <v>1233</v>
      </c>
      <c r="G614" s="95">
        <v>531</v>
      </c>
      <c r="H614" s="147">
        <f>F614*G614</f>
        <v>281.43</v>
      </c>
    </row>
    <row r="615" spans="2:8">
      <c r="B615" s="630" t="s">
        <v>1232</v>
      </c>
      <c r="C615" s="631"/>
      <c r="D615" s="631"/>
      <c r="E615" s="631"/>
      <c r="F615" s="631"/>
      <c r="G615" s="632"/>
      <c r="H615" s="148">
        <f>SUM(H613:H614)</f>
        <v>313.34750000000003</v>
      </c>
    </row>
    <row r="616" spans="2:8">
      <c r="B616" s="621"/>
      <c r="C616" s="622"/>
      <c r="D616" s="622"/>
      <c r="E616" s="622"/>
      <c r="F616" s="622"/>
      <c r="G616" s="622"/>
      <c r="H616" s="623"/>
    </row>
    <row r="617" spans="2:8" ht="25.5">
      <c r="B617" s="139" t="s">
        <v>2005</v>
      </c>
      <c r="C617" s="140" t="s">
        <v>380</v>
      </c>
      <c r="D617" s="141" t="s">
        <v>12</v>
      </c>
      <c r="E617" s="141" t="s">
        <v>24</v>
      </c>
      <c r="F617" s="142"/>
      <c r="G617" s="143"/>
      <c r="H617" s="144"/>
    </row>
    <row r="618" spans="2:8" ht="25.5">
      <c r="B618" s="145" t="s">
        <v>1470</v>
      </c>
      <c r="C618" s="98" t="s">
        <v>1471</v>
      </c>
      <c r="D618" s="99" t="s">
        <v>401</v>
      </c>
      <c r="E618" s="99" t="s">
        <v>112</v>
      </c>
      <c r="F618" s="94">
        <v>2.0095238100000001</v>
      </c>
      <c r="G618" s="95">
        <f>6.3*1.2217</f>
        <v>7.6967099999999995</v>
      </c>
      <c r="H618" s="147">
        <f>F618*G618</f>
        <v>15.466722003665099</v>
      </c>
    </row>
    <row r="619" spans="2:8" ht="25.5">
      <c r="B619" s="145" t="s">
        <v>1425</v>
      </c>
      <c r="C619" s="98" t="s">
        <v>1426</v>
      </c>
      <c r="D619" s="99" t="s">
        <v>401</v>
      </c>
      <c r="E619" s="99" t="s">
        <v>112</v>
      </c>
      <c r="F619" s="94">
        <v>11.879365078999999</v>
      </c>
      <c r="G619" s="95">
        <f>6.3*1.2217</f>
        <v>7.6967099999999995</v>
      </c>
      <c r="H619" s="147">
        <f t="shared" ref="H619:H623" si="59">F619*G619</f>
        <v>91.432027997190076</v>
      </c>
    </row>
    <row r="620" spans="2:8" ht="38.25">
      <c r="B620" s="145">
        <v>142</v>
      </c>
      <c r="C620" s="98" t="s">
        <v>1484</v>
      </c>
      <c r="D620" s="99" t="s">
        <v>401</v>
      </c>
      <c r="E620" s="99" t="s">
        <v>1485</v>
      </c>
      <c r="F620" s="94">
        <v>0.15</v>
      </c>
      <c r="G620" s="95">
        <v>37.549999999999997</v>
      </c>
      <c r="H620" s="147">
        <f t="shared" si="59"/>
        <v>5.6324999999999994</v>
      </c>
    </row>
    <row r="621" spans="2:8" ht="25.5">
      <c r="B621" s="145">
        <v>20259</v>
      </c>
      <c r="C621" s="98" t="s">
        <v>1460</v>
      </c>
      <c r="D621" s="99" t="s">
        <v>401</v>
      </c>
      <c r="E621" s="99" t="s">
        <v>15</v>
      </c>
      <c r="F621" s="94">
        <v>4</v>
      </c>
      <c r="G621" s="95">
        <v>17.34</v>
      </c>
      <c r="H621" s="147">
        <f t="shared" si="59"/>
        <v>69.36</v>
      </c>
    </row>
    <row r="622" spans="2:8" ht="25.5">
      <c r="B622" s="145" t="s">
        <v>1488</v>
      </c>
      <c r="C622" s="98" t="s">
        <v>1489</v>
      </c>
      <c r="D622" s="99" t="s">
        <v>12</v>
      </c>
      <c r="E622" s="99" t="s">
        <v>1129</v>
      </c>
      <c r="F622" s="94">
        <v>2.0008605849999999</v>
      </c>
      <c r="G622" s="95">
        <v>20.37</v>
      </c>
      <c r="H622" s="147">
        <f t="shared" si="59"/>
        <v>40.757530116449999</v>
      </c>
    </row>
    <row r="623" spans="2:8" ht="25.5">
      <c r="B623" s="145" t="s">
        <v>1391</v>
      </c>
      <c r="C623" s="98" t="s">
        <v>1392</v>
      </c>
      <c r="D623" s="99" t="s">
        <v>12</v>
      </c>
      <c r="E623" s="99" t="s">
        <v>1129</v>
      </c>
      <c r="F623" s="94">
        <v>2</v>
      </c>
      <c r="G623" s="95">
        <v>24.93</v>
      </c>
      <c r="H623" s="147">
        <f t="shared" si="59"/>
        <v>49.86</v>
      </c>
    </row>
    <row r="624" spans="2:8">
      <c r="B624" s="630" t="s">
        <v>1232</v>
      </c>
      <c r="C624" s="631"/>
      <c r="D624" s="631"/>
      <c r="E624" s="631"/>
      <c r="F624" s="631"/>
      <c r="G624" s="632"/>
      <c r="H624" s="148">
        <f>SUM(H618:H623)</f>
        <v>272.50878011730515</v>
      </c>
    </row>
    <row r="625" spans="2:8">
      <c r="B625" s="627"/>
      <c r="C625" s="628"/>
      <c r="D625" s="628"/>
      <c r="E625" s="628"/>
      <c r="F625" s="628"/>
      <c r="G625" s="628"/>
      <c r="H625" s="629"/>
    </row>
    <row r="626" spans="2:8" ht="25.5">
      <c r="B626" s="139" t="s">
        <v>2006</v>
      </c>
      <c r="C626" s="140" t="s">
        <v>382</v>
      </c>
      <c r="D626" s="141" t="s">
        <v>12</v>
      </c>
      <c r="E626" s="141" t="s">
        <v>24</v>
      </c>
      <c r="F626" s="142"/>
      <c r="G626" s="143"/>
      <c r="H626" s="144"/>
    </row>
    <row r="627" spans="2:8" ht="25.5">
      <c r="B627" s="145" t="s">
        <v>1490</v>
      </c>
      <c r="C627" s="98" t="s">
        <v>1491</v>
      </c>
      <c r="D627" s="99" t="s">
        <v>401</v>
      </c>
      <c r="E627" s="99" t="s">
        <v>112</v>
      </c>
      <c r="F627" s="94">
        <v>12.06031746</v>
      </c>
      <c r="G627" s="95">
        <f>6.3*1.2217</f>
        <v>7.6967099999999995</v>
      </c>
      <c r="H627" s="147">
        <f>F627*G627</f>
        <v>92.824765997556597</v>
      </c>
    </row>
    <row r="628" spans="2:8" ht="38.25">
      <c r="B628" s="145">
        <v>142</v>
      </c>
      <c r="C628" s="98" t="s">
        <v>1484</v>
      </c>
      <c r="D628" s="99" t="s">
        <v>401</v>
      </c>
      <c r="E628" s="99" t="s">
        <v>1485</v>
      </c>
      <c r="F628" s="94">
        <v>0.15</v>
      </c>
      <c r="G628" s="95">
        <v>37.549999999999997</v>
      </c>
      <c r="H628" s="147">
        <f t="shared" ref="H628:H630" si="60">F628*G628</f>
        <v>5.6324999999999994</v>
      </c>
    </row>
    <row r="629" spans="2:8" ht="25.5">
      <c r="B629" s="145" t="s">
        <v>1488</v>
      </c>
      <c r="C629" s="98" t="s">
        <v>1489</v>
      </c>
      <c r="D629" s="99" t="s">
        <v>12</v>
      </c>
      <c r="E629" s="99" t="s">
        <v>1129</v>
      </c>
      <c r="F629" s="94">
        <v>2.0008605849999999</v>
      </c>
      <c r="G629" s="95">
        <v>20.37</v>
      </c>
      <c r="H629" s="147">
        <f t="shared" si="60"/>
        <v>40.757530116449999</v>
      </c>
    </row>
    <row r="630" spans="2:8" ht="25.5">
      <c r="B630" s="145" t="s">
        <v>1391</v>
      </c>
      <c r="C630" s="98" t="s">
        <v>1392</v>
      </c>
      <c r="D630" s="99" t="s">
        <v>12</v>
      </c>
      <c r="E630" s="99" t="s">
        <v>1129</v>
      </c>
      <c r="F630" s="94">
        <v>2</v>
      </c>
      <c r="G630" s="95">
        <v>24.93</v>
      </c>
      <c r="H630" s="147">
        <f t="shared" si="60"/>
        <v>49.86</v>
      </c>
    </row>
    <row r="631" spans="2:8">
      <c r="B631" s="630" t="s">
        <v>1232</v>
      </c>
      <c r="C631" s="631"/>
      <c r="D631" s="631"/>
      <c r="E631" s="631"/>
      <c r="F631" s="631"/>
      <c r="G631" s="632"/>
      <c r="H631" s="148">
        <f>SUM(H627:H630)</f>
        <v>189.07479611400657</v>
      </c>
    </row>
    <row r="632" spans="2:8">
      <c r="B632" s="621"/>
      <c r="C632" s="622"/>
      <c r="D632" s="622"/>
      <c r="E632" s="622"/>
      <c r="F632" s="622"/>
      <c r="G632" s="622"/>
      <c r="H632" s="623"/>
    </row>
    <row r="633" spans="2:8" ht="38.25">
      <c r="B633" s="139" t="s">
        <v>2007</v>
      </c>
      <c r="C633" s="140" t="s">
        <v>386</v>
      </c>
      <c r="D633" s="141" t="s">
        <v>12</v>
      </c>
      <c r="E633" s="141" t="s">
        <v>15</v>
      </c>
      <c r="F633" s="142"/>
      <c r="G633" s="143"/>
      <c r="H633" s="144"/>
    </row>
    <row r="634" spans="2:8" ht="51">
      <c r="B634" s="145">
        <v>7697</v>
      </c>
      <c r="C634" s="98" t="s">
        <v>1495</v>
      </c>
      <c r="D634" s="99" t="s">
        <v>401</v>
      </c>
      <c r="E634" s="99" t="s">
        <v>15</v>
      </c>
      <c r="F634" s="94">
        <v>4</v>
      </c>
      <c r="G634" s="95">
        <v>67.650000000000006</v>
      </c>
      <c r="H634" s="147">
        <f>F634*G634</f>
        <v>270.60000000000002</v>
      </c>
    </row>
    <row r="635" spans="2:8" ht="25.5">
      <c r="B635" s="145" t="s">
        <v>1391</v>
      </c>
      <c r="C635" s="98" t="s">
        <v>1392</v>
      </c>
      <c r="D635" s="99" t="s">
        <v>12</v>
      </c>
      <c r="E635" s="99" t="s">
        <v>1129</v>
      </c>
      <c r="F635" s="94">
        <v>3.4002943339999998</v>
      </c>
      <c r="G635" s="95">
        <v>24.93</v>
      </c>
      <c r="H635" s="147">
        <f t="shared" ref="H635:H637" si="61">F635*G635</f>
        <v>84.769337746619996</v>
      </c>
    </row>
    <row r="636" spans="2:8" ht="25.5">
      <c r="B636" s="145" t="s">
        <v>1286</v>
      </c>
      <c r="C636" s="98" t="s">
        <v>1287</v>
      </c>
      <c r="D636" s="99" t="s">
        <v>12</v>
      </c>
      <c r="E636" s="99" t="s">
        <v>1129</v>
      </c>
      <c r="F636" s="94">
        <v>3.0985267030000001</v>
      </c>
      <c r="G636" s="95">
        <v>18.649999999999999</v>
      </c>
      <c r="H636" s="147">
        <f t="shared" si="61"/>
        <v>57.787523010949997</v>
      </c>
    </row>
    <row r="637" spans="2:8" ht="38.25">
      <c r="B637" s="145" t="s">
        <v>1409</v>
      </c>
      <c r="C637" s="98" t="s">
        <v>1410</v>
      </c>
      <c r="D637" s="99" t="s">
        <v>12</v>
      </c>
      <c r="E637" s="99" t="s">
        <v>75</v>
      </c>
      <c r="F637" s="94">
        <v>0.02</v>
      </c>
      <c r="G637" s="95">
        <v>558.26</v>
      </c>
      <c r="H637" s="147">
        <f t="shared" si="61"/>
        <v>11.1652</v>
      </c>
    </row>
    <row r="638" spans="2:8">
      <c r="B638" s="630" t="s">
        <v>1232</v>
      </c>
      <c r="C638" s="631"/>
      <c r="D638" s="631"/>
      <c r="E638" s="631"/>
      <c r="F638" s="631"/>
      <c r="G638" s="632"/>
      <c r="H638" s="148">
        <f>SUM(H634:H637)</f>
        <v>424.32206075757006</v>
      </c>
    </row>
    <row r="639" spans="2:8">
      <c r="B639" s="621"/>
      <c r="C639" s="622"/>
      <c r="D639" s="622"/>
      <c r="E639" s="622"/>
      <c r="F639" s="622"/>
      <c r="G639" s="622"/>
      <c r="H639" s="623"/>
    </row>
    <row r="640" spans="2:8" ht="102">
      <c r="B640" s="139" t="s">
        <v>2008</v>
      </c>
      <c r="C640" s="140" t="s">
        <v>1833</v>
      </c>
      <c r="D640" s="141" t="s">
        <v>12</v>
      </c>
      <c r="E640" s="141" t="s">
        <v>24</v>
      </c>
      <c r="F640" s="142"/>
      <c r="G640" s="143"/>
      <c r="H640" s="144"/>
    </row>
    <row r="641" spans="2:8" ht="25.5">
      <c r="B641" s="145">
        <v>11002</v>
      </c>
      <c r="C641" s="98" t="s">
        <v>1457</v>
      </c>
      <c r="D641" s="99" t="s">
        <v>401</v>
      </c>
      <c r="E641" s="99" t="s">
        <v>112</v>
      </c>
      <c r="F641" s="94">
        <v>0.02</v>
      </c>
      <c r="G641" s="95">
        <v>28.71</v>
      </c>
      <c r="H641" s="147">
        <f>F641*G641</f>
        <v>0.57420000000000004</v>
      </c>
    </row>
    <row r="642" spans="2:8" ht="38.25">
      <c r="B642" s="145">
        <v>11964</v>
      </c>
      <c r="C642" s="98" t="s">
        <v>1459</v>
      </c>
      <c r="D642" s="99" t="s">
        <v>401</v>
      </c>
      <c r="E642" s="99" t="s">
        <v>37</v>
      </c>
      <c r="F642" s="94">
        <v>1.1000000000000001</v>
      </c>
      <c r="G642" s="95">
        <v>2.2599999999999998</v>
      </c>
      <c r="H642" s="147">
        <f t="shared" ref="H642:H649" si="62">F642*G642</f>
        <v>2.4859999999999998</v>
      </c>
    </row>
    <row r="643" spans="2:8" ht="25.5">
      <c r="B643" s="145">
        <v>1332</v>
      </c>
      <c r="C643" s="98" t="s">
        <v>1496</v>
      </c>
      <c r="D643" s="99" t="s">
        <v>401</v>
      </c>
      <c r="E643" s="99" t="s">
        <v>112</v>
      </c>
      <c r="F643" s="94">
        <v>1.22</v>
      </c>
      <c r="G643" s="95">
        <v>14.99</v>
      </c>
      <c r="H643" s="147">
        <f t="shared" si="62"/>
        <v>18.287800000000001</v>
      </c>
    </row>
    <row r="644" spans="2:8" ht="25.5">
      <c r="B644" s="145">
        <v>43130</v>
      </c>
      <c r="C644" s="98" t="s">
        <v>1835</v>
      </c>
      <c r="D644" s="99" t="s">
        <v>401</v>
      </c>
      <c r="E644" s="99" t="s">
        <v>112</v>
      </c>
      <c r="F644" s="94">
        <v>0.1</v>
      </c>
      <c r="G644" s="95">
        <v>27.45</v>
      </c>
      <c r="H644" s="147">
        <f t="shared" si="62"/>
        <v>2.7450000000000001</v>
      </c>
    </row>
    <row r="645" spans="2:8" ht="25.5">
      <c r="B645" s="145" t="s">
        <v>2009</v>
      </c>
      <c r="C645" s="98" t="s">
        <v>2010</v>
      </c>
      <c r="D645" s="99" t="s">
        <v>401</v>
      </c>
      <c r="E645" s="99" t="s">
        <v>112</v>
      </c>
      <c r="F645" s="94">
        <v>0.08</v>
      </c>
      <c r="G645" s="95">
        <v>23.33</v>
      </c>
      <c r="H645" s="147">
        <f t="shared" si="62"/>
        <v>1.8663999999999998</v>
      </c>
    </row>
    <row r="646" spans="2:8" ht="51">
      <c r="B646" s="145">
        <v>21012</v>
      </c>
      <c r="C646" s="98" t="s">
        <v>1492</v>
      </c>
      <c r="D646" s="99" t="s">
        <v>401</v>
      </c>
      <c r="E646" s="99" t="s">
        <v>15</v>
      </c>
      <c r="F646" s="94">
        <v>3.11</v>
      </c>
      <c r="G646" s="95">
        <v>67.58</v>
      </c>
      <c r="H646" s="147">
        <f t="shared" si="62"/>
        <v>210.1738</v>
      </c>
    </row>
    <row r="647" spans="2:8" ht="63.75">
      <c r="B647" s="145">
        <v>10935</v>
      </c>
      <c r="C647" s="98" t="s">
        <v>1819</v>
      </c>
      <c r="D647" s="99" t="s">
        <v>401</v>
      </c>
      <c r="E647" s="99" t="s">
        <v>24</v>
      </c>
      <c r="F647" s="94">
        <v>1.1000000000000001</v>
      </c>
      <c r="G647" s="95">
        <v>47.46</v>
      </c>
      <c r="H647" s="147">
        <f t="shared" si="62"/>
        <v>52.206000000000003</v>
      </c>
    </row>
    <row r="648" spans="2:8" ht="25.5">
      <c r="B648" s="145" t="s">
        <v>1488</v>
      </c>
      <c r="C648" s="98" t="s">
        <v>1489</v>
      </c>
      <c r="D648" s="99" t="s">
        <v>12</v>
      </c>
      <c r="E648" s="99" t="s">
        <v>1129</v>
      </c>
      <c r="F648" s="94">
        <v>2.6</v>
      </c>
      <c r="G648" s="95">
        <v>20.37</v>
      </c>
      <c r="H648" s="147">
        <f t="shared" si="62"/>
        <v>52.962000000000003</v>
      </c>
    </row>
    <row r="649" spans="2:8" ht="25.5">
      <c r="B649" s="145" t="s">
        <v>1391</v>
      </c>
      <c r="C649" s="98" t="s">
        <v>1392</v>
      </c>
      <c r="D649" s="99" t="s">
        <v>12</v>
      </c>
      <c r="E649" s="99" t="s">
        <v>1129</v>
      </c>
      <c r="F649" s="94">
        <v>1.6</v>
      </c>
      <c r="G649" s="95">
        <v>24.93</v>
      </c>
      <c r="H649" s="147">
        <f t="shared" si="62"/>
        <v>39.888000000000005</v>
      </c>
    </row>
    <row r="650" spans="2:8">
      <c r="B650" s="630" t="s">
        <v>1232</v>
      </c>
      <c r="C650" s="631"/>
      <c r="D650" s="631"/>
      <c r="E650" s="631"/>
      <c r="F650" s="631"/>
      <c r="G650" s="632"/>
      <c r="H650" s="148">
        <f>SUM(H641:H649)</f>
        <v>381.18920000000003</v>
      </c>
    </row>
    <row r="651" spans="2:8">
      <c r="B651" s="627"/>
      <c r="C651" s="628"/>
      <c r="D651" s="628"/>
      <c r="E651" s="628"/>
      <c r="F651" s="628"/>
      <c r="G651" s="628"/>
      <c r="H651" s="629"/>
    </row>
    <row r="652" spans="2:8" ht="89.25">
      <c r="B652" s="139" t="s">
        <v>2011</v>
      </c>
      <c r="C652" s="140" t="s">
        <v>1836</v>
      </c>
      <c r="D652" s="141" t="s">
        <v>12</v>
      </c>
      <c r="E652" s="141" t="s">
        <v>24</v>
      </c>
      <c r="F652" s="142"/>
      <c r="G652" s="143"/>
      <c r="H652" s="144"/>
    </row>
    <row r="653" spans="2:8" ht="63.75">
      <c r="B653" s="145">
        <v>10935</v>
      </c>
      <c r="C653" s="98" t="s">
        <v>1819</v>
      </c>
      <c r="D653" s="99" t="s">
        <v>401</v>
      </c>
      <c r="E653" s="99" t="s">
        <v>24</v>
      </c>
      <c r="F653" s="94">
        <v>1.1000000000000001</v>
      </c>
      <c r="G653" s="95">
        <v>47.46</v>
      </c>
      <c r="H653" s="147">
        <f>F653*G653</f>
        <v>52.206000000000003</v>
      </c>
    </row>
    <row r="654" spans="2:8" ht="25.5">
      <c r="B654" s="440" t="s">
        <v>2009</v>
      </c>
      <c r="C654" s="98" t="s">
        <v>1818</v>
      </c>
      <c r="D654" s="99" t="s">
        <v>401</v>
      </c>
      <c r="E654" s="99" t="s">
        <v>112</v>
      </c>
      <c r="F654" s="94">
        <v>3.2000000000000001E-2</v>
      </c>
      <c r="G654" s="95">
        <v>23.33</v>
      </c>
      <c r="H654" s="147">
        <f t="shared" ref="H654:H663" si="63">F654*G654</f>
        <v>0.74656</v>
      </c>
    </row>
    <row r="655" spans="2:8" ht="25.5">
      <c r="B655" s="145">
        <v>5075</v>
      </c>
      <c r="C655" s="98" t="s">
        <v>1820</v>
      </c>
      <c r="D655" s="99" t="s">
        <v>401</v>
      </c>
      <c r="E655" s="99" t="s">
        <v>112</v>
      </c>
      <c r="F655" s="94">
        <v>0.04</v>
      </c>
      <c r="G655" s="95">
        <v>24.31</v>
      </c>
      <c r="H655" s="147">
        <f t="shared" si="63"/>
        <v>0.97239999999999993</v>
      </c>
    </row>
    <row r="656" spans="2:8" ht="25.5">
      <c r="B656" s="145">
        <v>6188</v>
      </c>
      <c r="C656" s="98" t="s">
        <v>1821</v>
      </c>
      <c r="D656" s="99" t="s">
        <v>401</v>
      </c>
      <c r="E656" s="99" t="s">
        <v>24</v>
      </c>
      <c r="F656" s="94">
        <v>4.8000000000000001E-2</v>
      </c>
      <c r="G656" s="95">
        <f>23.33*1.1325</f>
        <v>26.421225</v>
      </c>
      <c r="H656" s="147">
        <f t="shared" si="63"/>
        <v>1.2682188000000001</v>
      </c>
    </row>
    <row r="657" spans="2:8">
      <c r="B657" s="145">
        <v>6298</v>
      </c>
      <c r="C657" s="98" t="s">
        <v>1837</v>
      </c>
      <c r="D657" s="99" t="s">
        <v>401</v>
      </c>
      <c r="E657" s="99" t="s">
        <v>37</v>
      </c>
      <c r="F657" s="94">
        <v>0.4</v>
      </c>
      <c r="G657" s="95">
        <v>59.54</v>
      </c>
      <c r="H657" s="147">
        <f t="shared" si="63"/>
        <v>23.816000000000003</v>
      </c>
    </row>
    <row r="658" spans="2:8" ht="38.25">
      <c r="B658" s="145">
        <v>7696</v>
      </c>
      <c r="C658" s="98" t="s">
        <v>1816</v>
      </c>
      <c r="D658" s="99" t="s">
        <v>401</v>
      </c>
      <c r="E658" s="99" t="s">
        <v>15</v>
      </c>
      <c r="F658" s="94">
        <v>1.2</v>
      </c>
      <c r="G658" s="95">
        <v>97.55</v>
      </c>
      <c r="H658" s="147">
        <f t="shared" si="63"/>
        <v>117.05999999999999</v>
      </c>
    </row>
    <row r="659" spans="2:8" ht="25.5">
      <c r="B659" s="145" t="s">
        <v>1399</v>
      </c>
      <c r="C659" s="98" t="s">
        <v>1822</v>
      </c>
      <c r="D659" s="99" t="s">
        <v>12</v>
      </c>
      <c r="E659" s="99" t="s">
        <v>75</v>
      </c>
      <c r="F659" s="94">
        <v>1.7999999999999999E-2</v>
      </c>
      <c r="G659" s="95">
        <v>453.98</v>
      </c>
      <c r="H659" s="147">
        <f t="shared" si="63"/>
        <v>8.17164</v>
      </c>
    </row>
    <row r="660" spans="2:8" ht="25.5">
      <c r="B660" s="145" t="s">
        <v>1823</v>
      </c>
      <c r="C660" s="98" t="s">
        <v>1824</v>
      </c>
      <c r="D660" s="99" t="s">
        <v>12</v>
      </c>
      <c r="E660" s="99" t="s">
        <v>1129</v>
      </c>
      <c r="F660" s="94">
        <v>1</v>
      </c>
      <c r="G660" s="95">
        <v>24.86</v>
      </c>
      <c r="H660" s="147">
        <f t="shared" si="63"/>
        <v>24.86</v>
      </c>
    </row>
    <row r="661" spans="2:8" ht="25.5">
      <c r="B661" s="145" t="s">
        <v>1338</v>
      </c>
      <c r="C661" s="98" t="s">
        <v>1339</v>
      </c>
      <c r="D661" s="99" t="s">
        <v>12</v>
      </c>
      <c r="E661" s="99" t="s">
        <v>1129</v>
      </c>
      <c r="F661" s="94">
        <v>1</v>
      </c>
      <c r="G661" s="95">
        <v>25.07</v>
      </c>
      <c r="H661" s="147">
        <f t="shared" si="63"/>
        <v>25.07</v>
      </c>
    </row>
    <row r="662" spans="2:8" ht="25.5">
      <c r="B662" s="145" t="s">
        <v>1391</v>
      </c>
      <c r="C662" s="98" t="s">
        <v>1392</v>
      </c>
      <c r="D662" s="99" t="s">
        <v>12</v>
      </c>
      <c r="E662" s="99" t="s">
        <v>1129</v>
      </c>
      <c r="F662" s="94">
        <v>0.5</v>
      </c>
      <c r="G662" s="95">
        <v>24.93</v>
      </c>
      <c r="H662" s="147">
        <f t="shared" si="63"/>
        <v>12.465</v>
      </c>
    </row>
    <row r="663" spans="2:8" ht="25.5">
      <c r="B663" s="145" t="s">
        <v>1286</v>
      </c>
      <c r="C663" s="98" t="s">
        <v>1287</v>
      </c>
      <c r="D663" s="99" t="s">
        <v>12</v>
      </c>
      <c r="E663" s="99" t="s">
        <v>1129</v>
      </c>
      <c r="F663" s="94">
        <v>3.38</v>
      </c>
      <c r="G663" s="95">
        <v>18.649999999999999</v>
      </c>
      <c r="H663" s="147">
        <f t="shared" si="63"/>
        <v>63.036999999999992</v>
      </c>
    </row>
    <row r="664" spans="2:8">
      <c r="B664" s="630" t="s">
        <v>1232</v>
      </c>
      <c r="C664" s="631"/>
      <c r="D664" s="631"/>
      <c r="E664" s="631"/>
      <c r="F664" s="631"/>
      <c r="G664" s="632"/>
      <c r="H664" s="148">
        <f>SUM(H653:H663)</f>
        <v>329.6728187999999</v>
      </c>
    </row>
    <row r="665" spans="2:8">
      <c r="B665" s="621"/>
      <c r="C665" s="622"/>
      <c r="D665" s="622"/>
      <c r="E665" s="622"/>
      <c r="F665" s="622"/>
      <c r="G665" s="622"/>
      <c r="H665" s="623"/>
    </row>
    <row r="666" spans="2:8" ht="25.5">
      <c r="B666" s="174" t="s">
        <v>2012</v>
      </c>
      <c r="C666" s="175" t="s">
        <v>396</v>
      </c>
      <c r="D666" s="176" t="s">
        <v>12</v>
      </c>
      <c r="E666" s="176" t="s">
        <v>24</v>
      </c>
      <c r="F666" s="177"/>
      <c r="G666" s="178"/>
      <c r="H666" s="179"/>
    </row>
    <row r="667" spans="2:8" ht="25.5">
      <c r="B667" s="180" t="s">
        <v>395</v>
      </c>
      <c r="C667" s="181" t="s">
        <v>1497</v>
      </c>
      <c r="D667" s="182" t="s">
        <v>12</v>
      </c>
      <c r="E667" s="182" t="s">
        <v>37</v>
      </c>
      <c r="F667" s="183" t="s">
        <v>1498</v>
      </c>
      <c r="G667" s="184">
        <f>3290.92*1.2217</f>
        <v>4020.5169639999999</v>
      </c>
      <c r="H667" s="185">
        <f>F667*G667</f>
        <v>209.06688212799997</v>
      </c>
    </row>
    <row r="668" spans="2:8">
      <c r="B668" s="667" t="s">
        <v>1232</v>
      </c>
      <c r="C668" s="668"/>
      <c r="D668" s="668"/>
      <c r="E668" s="668"/>
      <c r="F668" s="668"/>
      <c r="G668" s="668"/>
      <c r="H668" s="186">
        <f>SUM(H667)</f>
        <v>209.06688212799997</v>
      </c>
    </row>
    <row r="669" spans="2:8">
      <c r="B669" s="656"/>
      <c r="C669" s="657"/>
      <c r="D669" s="657"/>
      <c r="E669" s="657"/>
      <c r="F669" s="657"/>
      <c r="G669" s="657"/>
      <c r="H669" s="658"/>
    </row>
    <row r="670" spans="2:8" ht="25.5">
      <c r="B670" s="154" t="s">
        <v>2013</v>
      </c>
      <c r="C670" s="155" t="s">
        <v>398</v>
      </c>
      <c r="D670" s="156" t="s">
        <v>12</v>
      </c>
      <c r="E670" s="156" t="s">
        <v>24</v>
      </c>
      <c r="F670" s="157"/>
      <c r="G670" s="158"/>
      <c r="H670" s="159"/>
    </row>
    <row r="671" spans="2:8" ht="25.5">
      <c r="B671" s="160" t="s">
        <v>1499</v>
      </c>
      <c r="C671" s="161" t="s">
        <v>1500</v>
      </c>
      <c r="D671" s="162" t="s">
        <v>12</v>
      </c>
      <c r="E671" s="162" t="s">
        <v>37</v>
      </c>
      <c r="F671" s="163" t="s">
        <v>1501</v>
      </c>
      <c r="G671" s="164">
        <f>2686.08*1.2217</f>
        <v>3281.583936</v>
      </c>
      <c r="H671" s="165">
        <f>F671*G671</f>
        <v>236.27404339199998</v>
      </c>
    </row>
    <row r="672" spans="2:8">
      <c r="B672" s="624" t="s">
        <v>1232</v>
      </c>
      <c r="C672" s="625"/>
      <c r="D672" s="625"/>
      <c r="E672" s="625"/>
      <c r="F672" s="625"/>
      <c r="G672" s="626"/>
      <c r="H672" s="166">
        <f>SUM(H671)</f>
        <v>236.27404339199998</v>
      </c>
    </row>
    <row r="673" spans="2:8">
      <c r="B673" s="621"/>
      <c r="C673" s="622"/>
      <c r="D673" s="622"/>
      <c r="E673" s="622"/>
      <c r="F673" s="622"/>
      <c r="G673" s="622"/>
      <c r="H673" s="623"/>
    </row>
    <row r="674" spans="2:8" ht="51">
      <c r="B674" s="154" t="s">
        <v>2014</v>
      </c>
      <c r="C674" s="155" t="s">
        <v>400</v>
      </c>
      <c r="D674" s="156" t="s">
        <v>401</v>
      </c>
      <c r="E674" s="156" t="s">
        <v>24</v>
      </c>
      <c r="F674" s="157"/>
      <c r="G674" s="158"/>
      <c r="H674" s="159"/>
    </row>
    <row r="675" spans="2:8" ht="38.25">
      <c r="B675" s="187" t="s">
        <v>2015</v>
      </c>
      <c r="C675" s="188" t="s">
        <v>400</v>
      </c>
      <c r="D675" s="189" t="s">
        <v>12</v>
      </c>
      <c r="E675" s="162" t="s">
        <v>37</v>
      </c>
      <c r="F675" s="441">
        <v>1</v>
      </c>
      <c r="G675" s="442">
        <f>1464.15*1.2217</f>
        <v>1788.7520550000002</v>
      </c>
      <c r="H675" s="165">
        <f>F675*G675</f>
        <v>1788.7520550000002</v>
      </c>
    </row>
    <row r="676" spans="2:8" ht="15" customHeight="1">
      <c r="B676" s="624" t="s">
        <v>1232</v>
      </c>
      <c r="C676" s="625"/>
      <c r="D676" s="625"/>
      <c r="E676" s="625"/>
      <c r="F676" s="625"/>
      <c r="G676" s="626"/>
      <c r="H676" s="166">
        <f>SUM(H675)</f>
        <v>1788.7520550000002</v>
      </c>
    </row>
    <row r="677" spans="2:8">
      <c r="B677" s="621"/>
      <c r="C677" s="622"/>
      <c r="D677" s="622"/>
      <c r="E677" s="622"/>
      <c r="F677" s="622"/>
      <c r="G677" s="622"/>
      <c r="H677" s="623"/>
    </row>
    <row r="678" spans="2:8" ht="51">
      <c r="B678" s="139" t="s">
        <v>2016</v>
      </c>
      <c r="C678" s="140" t="s">
        <v>407</v>
      </c>
      <c r="D678" s="141" t="s">
        <v>12</v>
      </c>
      <c r="E678" s="141" t="s">
        <v>24</v>
      </c>
      <c r="F678" s="142"/>
      <c r="G678" s="143"/>
      <c r="H678" s="144"/>
    </row>
    <row r="679" spans="2:8">
      <c r="B679" s="145">
        <v>10498</v>
      </c>
      <c r="C679" s="98" t="s">
        <v>1502</v>
      </c>
      <c r="D679" s="99" t="s">
        <v>401</v>
      </c>
      <c r="E679" s="99" t="s">
        <v>112</v>
      </c>
      <c r="F679" s="94">
        <v>1.5</v>
      </c>
      <c r="G679" s="95">
        <v>5.51</v>
      </c>
      <c r="H679" s="147">
        <f>F679*G679</f>
        <v>8.2650000000000006</v>
      </c>
    </row>
    <row r="680" spans="2:8" ht="25.5">
      <c r="B680" s="145">
        <v>10505</v>
      </c>
      <c r="C680" s="98" t="s">
        <v>1503</v>
      </c>
      <c r="D680" s="99" t="s">
        <v>401</v>
      </c>
      <c r="E680" s="99" t="s">
        <v>24</v>
      </c>
      <c r="F680" s="94">
        <v>1</v>
      </c>
      <c r="G680" s="95">
        <v>124.21</v>
      </c>
      <c r="H680" s="147">
        <f t="shared" ref="H680:H682" si="64">F680*G680</f>
        <v>124.21</v>
      </c>
    </row>
    <row r="681" spans="2:8" ht="25.5">
      <c r="B681" s="145" t="s">
        <v>1286</v>
      </c>
      <c r="C681" s="98" t="s">
        <v>1287</v>
      </c>
      <c r="D681" s="99" t="s">
        <v>12</v>
      </c>
      <c r="E681" s="99" t="s">
        <v>1129</v>
      </c>
      <c r="F681" s="94">
        <v>0.5</v>
      </c>
      <c r="G681" s="95">
        <v>18.649999999999999</v>
      </c>
      <c r="H681" s="147">
        <f t="shared" si="64"/>
        <v>9.3249999999999993</v>
      </c>
    </row>
    <row r="682" spans="2:8" ht="25.5">
      <c r="B682" s="145" t="s">
        <v>1504</v>
      </c>
      <c r="C682" s="98" t="s">
        <v>1505</v>
      </c>
      <c r="D682" s="99" t="s">
        <v>12</v>
      </c>
      <c r="E682" s="99" t="s">
        <v>1129</v>
      </c>
      <c r="F682" s="94">
        <v>0.5</v>
      </c>
      <c r="G682" s="95">
        <v>23.34</v>
      </c>
      <c r="H682" s="147">
        <f t="shared" si="64"/>
        <v>11.67</v>
      </c>
    </row>
    <row r="683" spans="2:8">
      <c r="B683" s="630" t="s">
        <v>1232</v>
      </c>
      <c r="C683" s="631"/>
      <c r="D683" s="631"/>
      <c r="E683" s="631"/>
      <c r="F683" s="631"/>
      <c r="G683" s="632"/>
      <c r="H683" s="148">
        <f>SUM(H679:H682)</f>
        <v>153.46999999999997</v>
      </c>
    </row>
    <row r="684" spans="2:8">
      <c r="B684" s="621"/>
      <c r="C684" s="622"/>
      <c r="D684" s="622"/>
      <c r="E684" s="622"/>
      <c r="F684" s="622"/>
      <c r="G684" s="622"/>
      <c r="H684" s="623"/>
    </row>
    <row r="685" spans="2:8" ht="51">
      <c r="B685" s="139" t="s">
        <v>2017</v>
      </c>
      <c r="C685" s="140" t="s">
        <v>409</v>
      </c>
      <c r="D685" s="141" t="s">
        <v>12</v>
      </c>
      <c r="E685" s="141" t="s">
        <v>24</v>
      </c>
      <c r="F685" s="142"/>
      <c r="G685" s="143"/>
      <c r="H685" s="144"/>
    </row>
    <row r="686" spans="2:8">
      <c r="B686" s="145">
        <v>10498</v>
      </c>
      <c r="C686" s="98" t="s">
        <v>1502</v>
      </c>
      <c r="D686" s="99" t="s">
        <v>401</v>
      </c>
      <c r="E686" s="99" t="s">
        <v>112</v>
      </c>
      <c r="F686" s="94">
        <v>1.5</v>
      </c>
      <c r="G686" s="95">
        <v>5.51</v>
      </c>
      <c r="H686" s="147">
        <f>F686*G686</f>
        <v>8.2650000000000006</v>
      </c>
    </row>
    <row r="687" spans="2:8" ht="25.5">
      <c r="B687" s="145">
        <v>10506</v>
      </c>
      <c r="C687" s="98" t="s">
        <v>1506</v>
      </c>
      <c r="D687" s="99" t="s">
        <v>401</v>
      </c>
      <c r="E687" s="99" t="s">
        <v>24</v>
      </c>
      <c r="F687" s="94">
        <v>1</v>
      </c>
      <c r="G687" s="95">
        <v>162.13999999999999</v>
      </c>
      <c r="H687" s="147">
        <f t="shared" ref="H687:H689" si="65">F687*G687</f>
        <v>162.13999999999999</v>
      </c>
    </row>
    <row r="688" spans="2:8" ht="25.5">
      <c r="B688" s="145" t="s">
        <v>1286</v>
      </c>
      <c r="C688" s="98" t="s">
        <v>1287</v>
      </c>
      <c r="D688" s="99" t="s">
        <v>12</v>
      </c>
      <c r="E688" s="99" t="s">
        <v>1129</v>
      </c>
      <c r="F688" s="94">
        <v>0.5</v>
      </c>
      <c r="G688" s="95">
        <v>18.649999999999999</v>
      </c>
      <c r="H688" s="147">
        <f t="shared" si="65"/>
        <v>9.3249999999999993</v>
      </c>
    </row>
    <row r="689" spans="2:8" ht="25.5">
      <c r="B689" s="145" t="s">
        <v>1504</v>
      </c>
      <c r="C689" s="98" t="s">
        <v>1505</v>
      </c>
      <c r="D689" s="99" t="s">
        <v>12</v>
      </c>
      <c r="E689" s="99" t="s">
        <v>1129</v>
      </c>
      <c r="F689" s="94">
        <v>0.5</v>
      </c>
      <c r="G689" s="95">
        <v>23.34</v>
      </c>
      <c r="H689" s="147">
        <f t="shared" si="65"/>
        <v>11.67</v>
      </c>
    </row>
    <row r="690" spans="2:8">
      <c r="B690" s="630" t="s">
        <v>1232</v>
      </c>
      <c r="C690" s="631"/>
      <c r="D690" s="631"/>
      <c r="E690" s="631"/>
      <c r="F690" s="631"/>
      <c r="G690" s="632"/>
      <c r="H690" s="148">
        <f>SUM(H686:H689)</f>
        <v>191.39999999999995</v>
      </c>
    </row>
    <row r="691" spans="2:8">
      <c r="B691" s="621"/>
      <c r="C691" s="622"/>
      <c r="D691" s="622"/>
      <c r="E691" s="622"/>
      <c r="F691" s="622"/>
      <c r="G691" s="622"/>
      <c r="H691" s="623"/>
    </row>
    <row r="692" spans="2:8" ht="51">
      <c r="B692" s="139" t="s">
        <v>2018</v>
      </c>
      <c r="C692" s="140" t="s">
        <v>411</v>
      </c>
      <c r="D692" s="141" t="s">
        <v>12</v>
      </c>
      <c r="E692" s="141" t="s">
        <v>24</v>
      </c>
      <c r="F692" s="142"/>
      <c r="G692" s="143"/>
      <c r="H692" s="144"/>
    </row>
    <row r="693" spans="2:8">
      <c r="B693" s="145">
        <v>10498</v>
      </c>
      <c r="C693" s="98" t="s">
        <v>1502</v>
      </c>
      <c r="D693" s="99" t="s">
        <v>401</v>
      </c>
      <c r="E693" s="99" t="s">
        <v>112</v>
      </c>
      <c r="F693" s="94">
        <v>1.5</v>
      </c>
      <c r="G693" s="95">
        <v>5.51</v>
      </c>
      <c r="H693" s="147">
        <f>F693*G693</f>
        <v>8.2650000000000006</v>
      </c>
    </row>
    <row r="694" spans="2:8" ht="25.5">
      <c r="B694" s="145">
        <v>10507</v>
      </c>
      <c r="C694" s="98" t="s">
        <v>1507</v>
      </c>
      <c r="D694" s="99" t="s">
        <v>401</v>
      </c>
      <c r="E694" s="99" t="s">
        <v>24</v>
      </c>
      <c r="F694" s="94">
        <v>1</v>
      </c>
      <c r="G694" s="95">
        <v>210.5</v>
      </c>
      <c r="H694" s="147">
        <f t="shared" ref="H694:H696" si="66">F694*G694</f>
        <v>210.5</v>
      </c>
    </row>
    <row r="695" spans="2:8" ht="25.5">
      <c r="B695" s="145" t="s">
        <v>1286</v>
      </c>
      <c r="C695" s="98" t="s">
        <v>1287</v>
      </c>
      <c r="D695" s="99" t="s">
        <v>12</v>
      </c>
      <c r="E695" s="99" t="s">
        <v>1129</v>
      </c>
      <c r="F695" s="94">
        <v>0.5</v>
      </c>
      <c r="G695" s="95">
        <v>18.649999999999999</v>
      </c>
      <c r="H695" s="147">
        <f t="shared" si="66"/>
        <v>9.3249999999999993</v>
      </c>
    </row>
    <row r="696" spans="2:8" ht="25.5">
      <c r="B696" s="145" t="s">
        <v>1504</v>
      </c>
      <c r="C696" s="98" t="s">
        <v>1505</v>
      </c>
      <c r="D696" s="99" t="s">
        <v>12</v>
      </c>
      <c r="E696" s="99" t="s">
        <v>1129</v>
      </c>
      <c r="F696" s="94">
        <v>0.5</v>
      </c>
      <c r="G696" s="95">
        <v>23.34</v>
      </c>
      <c r="H696" s="147">
        <f t="shared" si="66"/>
        <v>11.67</v>
      </c>
    </row>
    <row r="697" spans="2:8">
      <c r="B697" s="630" t="s">
        <v>1232</v>
      </c>
      <c r="C697" s="631"/>
      <c r="D697" s="631"/>
      <c r="E697" s="631"/>
      <c r="F697" s="631"/>
      <c r="G697" s="632"/>
      <c r="H697" s="148">
        <f>SUM(H693:H696)</f>
        <v>239.75999999999996</v>
      </c>
    </row>
    <row r="698" spans="2:8">
      <c r="B698" s="621"/>
      <c r="C698" s="622"/>
      <c r="D698" s="622"/>
      <c r="E698" s="622"/>
      <c r="F698" s="622"/>
      <c r="G698" s="622"/>
      <c r="H698" s="623"/>
    </row>
    <row r="699" spans="2:8" ht="51">
      <c r="B699" s="139" t="s">
        <v>2019</v>
      </c>
      <c r="C699" s="140" t="s">
        <v>414</v>
      </c>
      <c r="D699" s="141" t="s">
        <v>12</v>
      </c>
      <c r="E699" s="141" t="s">
        <v>24</v>
      </c>
      <c r="F699" s="142"/>
      <c r="G699" s="143"/>
      <c r="H699" s="144"/>
    </row>
    <row r="700" spans="2:8">
      <c r="B700" s="145">
        <v>11186</v>
      </c>
      <c r="C700" s="98" t="s">
        <v>1508</v>
      </c>
      <c r="D700" s="99" t="s">
        <v>401</v>
      </c>
      <c r="E700" s="99" t="s">
        <v>24</v>
      </c>
      <c r="F700" s="94">
        <v>1</v>
      </c>
      <c r="G700" s="95">
        <v>248.44</v>
      </c>
      <c r="H700" s="147">
        <f>F700*G700</f>
        <v>248.44</v>
      </c>
    </row>
    <row r="701" spans="2:8" ht="38.25">
      <c r="B701" s="145">
        <v>1360</v>
      </c>
      <c r="C701" s="98" t="s">
        <v>1509</v>
      </c>
      <c r="D701" s="99" t="s">
        <v>401</v>
      </c>
      <c r="E701" s="99" t="s">
        <v>24</v>
      </c>
      <c r="F701" s="94">
        <v>1.0501600849999999</v>
      </c>
      <c r="G701" s="95">
        <v>51.63</v>
      </c>
      <c r="H701" s="147">
        <f t="shared" ref="H701:H705" si="67">F701*G701</f>
        <v>54.219765188549999</v>
      </c>
    </row>
    <row r="702" spans="2:8" ht="25.5">
      <c r="B702" s="145">
        <v>587</v>
      </c>
      <c r="C702" s="98" t="s">
        <v>1510</v>
      </c>
      <c r="D702" s="99" t="s">
        <v>401</v>
      </c>
      <c r="E702" s="99" t="s">
        <v>112</v>
      </c>
      <c r="F702" s="94">
        <v>1.54</v>
      </c>
      <c r="G702" s="95">
        <v>38.81</v>
      </c>
      <c r="H702" s="147">
        <f t="shared" si="67"/>
        <v>59.767400000000002</v>
      </c>
    </row>
    <row r="703" spans="2:8" ht="38.25">
      <c r="B703" s="145">
        <v>7334</v>
      </c>
      <c r="C703" s="98" t="s">
        <v>1511</v>
      </c>
      <c r="D703" s="99" t="s">
        <v>401</v>
      </c>
      <c r="E703" s="99" t="s">
        <v>1294</v>
      </c>
      <c r="F703" s="94">
        <v>0.18</v>
      </c>
      <c r="G703" s="95">
        <v>11.69</v>
      </c>
      <c r="H703" s="147">
        <f t="shared" si="67"/>
        <v>2.1041999999999996</v>
      </c>
    </row>
    <row r="704" spans="2:8" ht="25.5">
      <c r="B704" s="145" t="s">
        <v>1290</v>
      </c>
      <c r="C704" s="98" t="s">
        <v>1291</v>
      </c>
      <c r="D704" s="99" t="s">
        <v>12</v>
      </c>
      <c r="E704" s="99" t="s">
        <v>1129</v>
      </c>
      <c r="F704" s="94">
        <v>1.8001679260000001</v>
      </c>
      <c r="G704" s="95">
        <v>21</v>
      </c>
      <c r="H704" s="147">
        <f t="shared" si="67"/>
        <v>37.803526445999999</v>
      </c>
    </row>
    <row r="705" spans="2:8" ht="25.5">
      <c r="B705" s="145" t="s">
        <v>1504</v>
      </c>
      <c r="C705" s="98" t="s">
        <v>1505</v>
      </c>
      <c r="D705" s="99" t="s">
        <v>12</v>
      </c>
      <c r="E705" s="99" t="s">
        <v>1129</v>
      </c>
      <c r="F705" s="94">
        <v>1.8007751940000001</v>
      </c>
      <c r="G705" s="95">
        <v>23.34</v>
      </c>
      <c r="H705" s="147">
        <f t="shared" si="67"/>
        <v>42.03009302796</v>
      </c>
    </row>
    <row r="706" spans="2:8">
      <c r="B706" s="630" t="s">
        <v>1232</v>
      </c>
      <c r="C706" s="631"/>
      <c r="D706" s="631"/>
      <c r="E706" s="631"/>
      <c r="F706" s="631"/>
      <c r="G706" s="632"/>
      <c r="H706" s="148">
        <f>SUM(H700:H705)</f>
        <v>444.36498466250998</v>
      </c>
    </row>
    <row r="707" spans="2:8">
      <c r="B707" s="621"/>
      <c r="C707" s="622"/>
      <c r="D707" s="622"/>
      <c r="E707" s="622"/>
      <c r="F707" s="622"/>
      <c r="G707" s="622"/>
      <c r="H707" s="623"/>
    </row>
    <row r="708" spans="2:8" ht="25.5">
      <c r="B708" s="139" t="s">
        <v>2020</v>
      </c>
      <c r="C708" s="140" t="s">
        <v>1840</v>
      </c>
      <c r="D708" s="141" t="s">
        <v>12</v>
      </c>
      <c r="E708" s="141" t="s">
        <v>24</v>
      </c>
      <c r="F708" s="142"/>
      <c r="G708" s="143"/>
      <c r="H708" s="144"/>
    </row>
    <row r="709" spans="2:8" ht="25.5">
      <c r="B709" s="145">
        <v>20259</v>
      </c>
      <c r="C709" s="98" t="s">
        <v>1460</v>
      </c>
      <c r="D709" s="99" t="s">
        <v>401</v>
      </c>
      <c r="E709" s="99" t="s">
        <v>15</v>
      </c>
      <c r="F709" s="94">
        <v>8</v>
      </c>
      <c r="G709" s="95">
        <v>17.34</v>
      </c>
      <c r="H709" s="147">
        <f>F709*G709</f>
        <v>138.72</v>
      </c>
    </row>
    <row r="710" spans="2:8">
      <c r="B710" s="145">
        <v>34360</v>
      </c>
      <c r="C710" s="98" t="s">
        <v>1692</v>
      </c>
      <c r="D710" s="99" t="s">
        <v>401</v>
      </c>
      <c r="E710" s="99" t="s">
        <v>112</v>
      </c>
      <c r="F710" s="94">
        <v>0.5</v>
      </c>
      <c r="G710" s="95">
        <v>45.27</v>
      </c>
      <c r="H710" s="147">
        <f t="shared" ref="H710:H711" si="68">F710*G710</f>
        <v>22.635000000000002</v>
      </c>
    </row>
    <row r="711" spans="2:8">
      <c r="B711" s="145">
        <v>11185</v>
      </c>
      <c r="C711" s="98" t="s">
        <v>1842</v>
      </c>
      <c r="D711" s="99" t="s">
        <v>12</v>
      </c>
      <c r="E711" s="99" t="s">
        <v>24</v>
      </c>
      <c r="F711" s="94">
        <v>1</v>
      </c>
      <c r="G711" s="95">
        <v>223.88</v>
      </c>
      <c r="H711" s="147">
        <f t="shared" si="68"/>
        <v>223.88</v>
      </c>
    </row>
    <row r="712" spans="2:8">
      <c r="B712" s="669" t="s">
        <v>1232</v>
      </c>
      <c r="C712" s="670"/>
      <c r="D712" s="670"/>
      <c r="E712" s="670"/>
      <c r="F712" s="670"/>
      <c r="G712" s="671"/>
      <c r="H712" s="190">
        <f>SUM(H709:H711)</f>
        <v>385.23500000000001</v>
      </c>
    </row>
    <row r="713" spans="2:8">
      <c r="B713" s="651"/>
      <c r="C713" s="652"/>
      <c r="D713" s="652"/>
      <c r="E713" s="652"/>
      <c r="F713" s="652"/>
      <c r="G713" s="652"/>
      <c r="H713" s="652"/>
    </row>
    <row r="714" spans="2:8" ht="51">
      <c r="B714" s="139" t="s">
        <v>2021</v>
      </c>
      <c r="C714" s="140" t="s">
        <v>425</v>
      </c>
      <c r="D714" s="141" t="s">
        <v>12</v>
      </c>
      <c r="E714" s="141" t="s">
        <v>24</v>
      </c>
      <c r="F714" s="142"/>
      <c r="G714" s="143"/>
      <c r="H714" s="144"/>
    </row>
    <row r="715" spans="2:8" ht="38.25">
      <c r="B715" s="145">
        <v>3671</v>
      </c>
      <c r="C715" s="98" t="s">
        <v>1513</v>
      </c>
      <c r="D715" s="99" t="s">
        <v>401</v>
      </c>
      <c r="E715" s="99" t="s">
        <v>15</v>
      </c>
      <c r="F715" s="94">
        <v>1</v>
      </c>
      <c r="G715" s="95">
        <v>1.25</v>
      </c>
      <c r="H715" s="147">
        <f>F715*G715</f>
        <v>1.25</v>
      </c>
    </row>
    <row r="716" spans="2:8" ht="51">
      <c r="B716" s="145">
        <v>4786</v>
      </c>
      <c r="C716" s="98" t="s">
        <v>1514</v>
      </c>
      <c r="D716" s="99" t="s">
        <v>401</v>
      </c>
      <c r="E716" s="99" t="s">
        <v>24</v>
      </c>
      <c r="F716" s="94">
        <v>1</v>
      </c>
      <c r="G716" s="95">
        <v>87</v>
      </c>
      <c r="H716" s="147">
        <f t="shared" ref="H716:H719" si="69">F716*G716</f>
        <v>87</v>
      </c>
    </row>
    <row r="717" spans="2:8" ht="51">
      <c r="B717" s="145" t="s">
        <v>1515</v>
      </c>
      <c r="C717" s="98" t="s">
        <v>1516</v>
      </c>
      <c r="D717" s="99" t="s">
        <v>12</v>
      </c>
      <c r="E717" s="99" t="s">
        <v>75</v>
      </c>
      <c r="F717" s="94">
        <v>0.02</v>
      </c>
      <c r="G717" s="95">
        <v>677.7</v>
      </c>
      <c r="H717" s="147">
        <f t="shared" si="69"/>
        <v>13.554000000000002</v>
      </c>
    </row>
    <row r="718" spans="2:8" ht="25.5">
      <c r="B718" s="145" t="s">
        <v>1338</v>
      </c>
      <c r="C718" s="98" t="s">
        <v>1339</v>
      </c>
      <c r="D718" s="99" t="s">
        <v>12</v>
      </c>
      <c r="E718" s="99" t="s">
        <v>1129</v>
      </c>
      <c r="F718" s="94">
        <v>0.6</v>
      </c>
      <c r="G718" s="95">
        <v>25.07</v>
      </c>
      <c r="H718" s="147">
        <f t="shared" si="69"/>
        <v>15.042</v>
      </c>
    </row>
    <row r="719" spans="2:8" ht="25.5">
      <c r="B719" s="145" t="s">
        <v>1286</v>
      </c>
      <c r="C719" s="98" t="s">
        <v>1287</v>
      </c>
      <c r="D719" s="99" t="s">
        <v>12</v>
      </c>
      <c r="E719" s="99" t="s">
        <v>1129</v>
      </c>
      <c r="F719" s="94">
        <v>0.3</v>
      </c>
      <c r="G719" s="95">
        <v>18.649999999999999</v>
      </c>
      <c r="H719" s="147">
        <f t="shared" si="69"/>
        <v>5.5949999999999998</v>
      </c>
    </row>
    <row r="720" spans="2:8">
      <c r="B720" s="630" t="s">
        <v>1232</v>
      </c>
      <c r="C720" s="631"/>
      <c r="D720" s="631"/>
      <c r="E720" s="631"/>
      <c r="F720" s="631"/>
      <c r="G720" s="632"/>
      <c r="H720" s="148">
        <f>SUM(H715:H719)</f>
        <v>122.441</v>
      </c>
    </row>
    <row r="721" spans="2:8">
      <c r="B721" s="621"/>
      <c r="C721" s="622"/>
      <c r="D721" s="622"/>
      <c r="E721" s="622"/>
      <c r="F721" s="622"/>
      <c r="G721" s="622"/>
      <c r="H721" s="623"/>
    </row>
    <row r="722" spans="2:8" ht="76.5">
      <c r="B722" s="139" t="s">
        <v>2022</v>
      </c>
      <c r="C722" s="140" t="s">
        <v>430</v>
      </c>
      <c r="D722" s="141" t="s">
        <v>12</v>
      </c>
      <c r="E722" s="141" t="s">
        <v>24</v>
      </c>
      <c r="F722" s="142"/>
      <c r="G722" s="143"/>
      <c r="H722" s="144"/>
    </row>
    <row r="723" spans="2:8" ht="25.5">
      <c r="B723" s="145" t="s">
        <v>1521</v>
      </c>
      <c r="C723" s="98" t="s">
        <v>1522</v>
      </c>
      <c r="D723" s="99" t="s">
        <v>401</v>
      </c>
      <c r="E723" s="99" t="s">
        <v>24</v>
      </c>
      <c r="F723" s="94">
        <v>1.100035984</v>
      </c>
      <c r="G723" s="95">
        <f>27.79*1.2217</f>
        <v>33.951042999999999</v>
      </c>
      <c r="H723" s="147">
        <f>F723*G723</f>
        <v>37.347368994331312</v>
      </c>
    </row>
    <row r="724" spans="2:8" ht="25.5">
      <c r="B724" s="145">
        <v>1381</v>
      </c>
      <c r="C724" s="98" t="s">
        <v>1523</v>
      </c>
      <c r="D724" s="99" t="s">
        <v>401</v>
      </c>
      <c r="E724" s="99" t="s">
        <v>112</v>
      </c>
      <c r="F724" s="94">
        <v>4.8499999999999996</v>
      </c>
      <c r="G724" s="95">
        <v>0.54</v>
      </c>
      <c r="H724" s="147">
        <f t="shared" ref="H724:H727" si="70">F724*G724</f>
        <v>2.6189999999999998</v>
      </c>
    </row>
    <row r="725" spans="2:8">
      <c r="B725" s="145">
        <v>34357</v>
      </c>
      <c r="C725" s="98" t="s">
        <v>1524</v>
      </c>
      <c r="D725" s="99" t="s">
        <v>401</v>
      </c>
      <c r="E725" s="99" t="s">
        <v>112</v>
      </c>
      <c r="F725" s="94">
        <v>0.8</v>
      </c>
      <c r="G725" s="95">
        <v>3.17</v>
      </c>
      <c r="H725" s="147">
        <f t="shared" si="70"/>
        <v>2.536</v>
      </c>
    </row>
    <row r="726" spans="2:8" ht="25.5">
      <c r="B726" s="145" t="s">
        <v>1525</v>
      </c>
      <c r="C726" s="98" t="s">
        <v>1526</v>
      </c>
      <c r="D726" s="99" t="s">
        <v>12</v>
      </c>
      <c r="E726" s="99" t="s">
        <v>1129</v>
      </c>
      <c r="F726" s="94">
        <v>1.1998530489999999</v>
      </c>
      <c r="G726" s="95">
        <v>24.98</v>
      </c>
      <c r="H726" s="147">
        <f t="shared" si="70"/>
        <v>29.97232916402</v>
      </c>
    </row>
    <row r="727" spans="2:8" ht="25.5">
      <c r="B727" s="145" t="s">
        <v>1286</v>
      </c>
      <c r="C727" s="98" t="s">
        <v>1287</v>
      </c>
      <c r="D727" s="99" t="s">
        <v>12</v>
      </c>
      <c r="E727" s="99" t="s">
        <v>1129</v>
      </c>
      <c r="F727" s="94">
        <v>0.75</v>
      </c>
      <c r="G727" s="95">
        <v>18.649999999999999</v>
      </c>
      <c r="H727" s="147">
        <f t="shared" si="70"/>
        <v>13.987499999999999</v>
      </c>
    </row>
    <row r="728" spans="2:8">
      <c r="B728" s="630" t="s">
        <v>1232</v>
      </c>
      <c r="C728" s="631"/>
      <c r="D728" s="631"/>
      <c r="E728" s="631"/>
      <c r="F728" s="631"/>
      <c r="G728" s="632"/>
      <c r="H728" s="148">
        <f>SUM(H723:H727)</f>
        <v>86.462198158351313</v>
      </c>
    </row>
    <row r="729" spans="2:8">
      <c r="B729" s="621"/>
      <c r="C729" s="622"/>
      <c r="D729" s="622"/>
      <c r="E729" s="622"/>
      <c r="F729" s="622"/>
      <c r="G729" s="622"/>
      <c r="H729" s="623"/>
    </row>
    <row r="730" spans="2:8" ht="38.25">
      <c r="B730" s="139" t="s">
        <v>2023</v>
      </c>
      <c r="C730" s="140" t="s">
        <v>451</v>
      </c>
      <c r="D730" s="141" t="s">
        <v>12</v>
      </c>
      <c r="E730" s="141" t="s">
        <v>24</v>
      </c>
      <c r="F730" s="142"/>
      <c r="G730" s="143"/>
      <c r="H730" s="144"/>
    </row>
    <row r="731" spans="2:8">
      <c r="B731" s="145">
        <v>100301</v>
      </c>
      <c r="C731" s="98" t="s">
        <v>1534</v>
      </c>
      <c r="D731" s="99" t="s">
        <v>1229</v>
      </c>
      <c r="E731" s="99" t="s">
        <v>1129</v>
      </c>
      <c r="F731" s="94">
        <v>0.1</v>
      </c>
      <c r="G731" s="95">
        <v>21.09</v>
      </c>
      <c r="H731" s="147">
        <f>F731*G731</f>
        <v>2.109</v>
      </c>
    </row>
    <row r="732" spans="2:8">
      <c r="B732" s="145">
        <v>88310</v>
      </c>
      <c r="C732" s="98" t="s">
        <v>1535</v>
      </c>
      <c r="D732" s="99" t="s">
        <v>1229</v>
      </c>
      <c r="E732" s="99" t="s">
        <v>1129</v>
      </c>
      <c r="F732" s="94">
        <v>0.4</v>
      </c>
      <c r="G732" s="95">
        <v>26.13</v>
      </c>
      <c r="H732" s="147">
        <f t="shared" ref="H732:H733" si="71">F732*G732</f>
        <v>10.452</v>
      </c>
    </row>
    <row r="733" spans="2:8" ht="25.5">
      <c r="B733" s="145" t="s">
        <v>1536</v>
      </c>
      <c r="C733" s="98" t="s">
        <v>1537</v>
      </c>
      <c r="D733" s="99" t="s">
        <v>401</v>
      </c>
      <c r="E733" s="99" t="s">
        <v>1294</v>
      </c>
      <c r="F733" s="94">
        <v>0.33</v>
      </c>
      <c r="G733" s="95">
        <f>23.4*1.2217</f>
        <v>28.587779999999999</v>
      </c>
      <c r="H733" s="147">
        <f t="shared" si="71"/>
        <v>9.4339674000000002</v>
      </c>
    </row>
    <row r="734" spans="2:8">
      <c r="B734" s="630" t="s">
        <v>1232</v>
      </c>
      <c r="C734" s="631"/>
      <c r="D734" s="631"/>
      <c r="E734" s="631"/>
      <c r="F734" s="631"/>
      <c r="G734" s="632"/>
      <c r="H734" s="148">
        <f>SUM(H731:H733)</f>
        <v>21.9949674</v>
      </c>
    </row>
    <row r="735" spans="2:8">
      <c r="B735" s="621"/>
      <c r="C735" s="622"/>
      <c r="D735" s="622"/>
      <c r="E735" s="622"/>
      <c r="F735" s="622"/>
      <c r="G735" s="622"/>
      <c r="H735" s="623"/>
    </row>
    <row r="736" spans="2:8" ht="25.5">
      <c r="B736" s="139" t="s">
        <v>2024</v>
      </c>
      <c r="C736" s="140" t="s">
        <v>452</v>
      </c>
      <c r="D736" s="141" t="s">
        <v>12</v>
      </c>
      <c r="E736" s="141" t="s">
        <v>24</v>
      </c>
      <c r="F736" s="142"/>
      <c r="G736" s="143"/>
      <c r="H736" s="144"/>
    </row>
    <row r="737" spans="2:8" ht="25.5">
      <c r="B737" s="145">
        <v>3</v>
      </c>
      <c r="C737" s="98" t="s">
        <v>1538</v>
      </c>
      <c r="D737" s="99" t="s">
        <v>401</v>
      </c>
      <c r="E737" s="99" t="s">
        <v>1294</v>
      </c>
      <c r="F737" s="94">
        <v>0.05</v>
      </c>
      <c r="G737" s="95">
        <v>11.62</v>
      </c>
      <c r="H737" s="147">
        <f>F737*G737</f>
        <v>0.58099999999999996</v>
      </c>
    </row>
    <row r="738" spans="2:8" ht="38.25">
      <c r="B738" s="145">
        <v>7314</v>
      </c>
      <c r="C738" s="98" t="s">
        <v>1539</v>
      </c>
      <c r="D738" s="99" t="s">
        <v>401</v>
      </c>
      <c r="E738" s="99" t="s">
        <v>1294</v>
      </c>
      <c r="F738" s="94">
        <v>0.24299999999999999</v>
      </c>
      <c r="G738" s="95">
        <v>73.48</v>
      </c>
      <c r="H738" s="147">
        <f t="shared" ref="H738:H740" si="72">F738*G738</f>
        <v>17.855640000000001</v>
      </c>
    </row>
    <row r="739" spans="2:8" ht="25.5">
      <c r="B739" s="145" t="s">
        <v>1385</v>
      </c>
      <c r="C739" s="98" t="s">
        <v>1386</v>
      </c>
      <c r="D739" s="99" t="s">
        <v>12</v>
      </c>
      <c r="E739" s="99" t="s">
        <v>1129</v>
      </c>
      <c r="F739" s="94">
        <v>0.5</v>
      </c>
      <c r="G739" s="95">
        <v>26.13</v>
      </c>
      <c r="H739" s="147">
        <f t="shared" si="72"/>
        <v>13.065</v>
      </c>
    </row>
    <row r="740" spans="2:8" ht="25.5">
      <c r="B740" s="145" t="s">
        <v>1286</v>
      </c>
      <c r="C740" s="98" t="s">
        <v>1287</v>
      </c>
      <c r="D740" s="99" t="s">
        <v>12</v>
      </c>
      <c r="E740" s="99" t="s">
        <v>1129</v>
      </c>
      <c r="F740" s="94">
        <v>0.4</v>
      </c>
      <c r="G740" s="95">
        <v>18.649999999999999</v>
      </c>
      <c r="H740" s="147">
        <f t="shared" si="72"/>
        <v>7.46</v>
      </c>
    </row>
    <row r="741" spans="2:8">
      <c r="B741" s="630" t="s">
        <v>1232</v>
      </c>
      <c r="C741" s="631"/>
      <c r="D741" s="631"/>
      <c r="E741" s="631"/>
      <c r="F741" s="631"/>
      <c r="G741" s="632"/>
      <c r="H741" s="148">
        <f>SUM(H737:H740)</f>
        <v>38.961640000000003</v>
      </c>
    </row>
    <row r="742" spans="2:8">
      <c r="B742" s="621"/>
      <c r="C742" s="622"/>
      <c r="D742" s="622"/>
      <c r="E742" s="622"/>
      <c r="F742" s="622"/>
      <c r="G742" s="622"/>
      <c r="H742" s="623"/>
    </row>
    <row r="743" spans="2:8" ht="51">
      <c r="B743" s="139" t="s">
        <v>2025</v>
      </c>
      <c r="C743" s="140" t="s">
        <v>1843</v>
      </c>
      <c r="D743" s="141" t="s">
        <v>12</v>
      </c>
      <c r="E743" s="141" t="s">
        <v>24</v>
      </c>
      <c r="F743" s="142"/>
      <c r="G743" s="143"/>
      <c r="H743" s="144"/>
    </row>
    <row r="744" spans="2:8" ht="25.5">
      <c r="B744" s="145">
        <v>3768</v>
      </c>
      <c r="C744" s="98" t="s">
        <v>1541</v>
      </c>
      <c r="D744" s="99" t="s">
        <v>401</v>
      </c>
      <c r="E744" s="99" t="s">
        <v>37</v>
      </c>
      <c r="F744" s="94" t="s">
        <v>1337</v>
      </c>
      <c r="G744" s="95">
        <v>3.87</v>
      </c>
      <c r="H744" s="147">
        <f>F744*G744</f>
        <v>1.161</v>
      </c>
    </row>
    <row r="745" spans="2:8" ht="25.5">
      <c r="B745" s="145">
        <v>5318</v>
      </c>
      <c r="C745" s="98" t="s">
        <v>1540</v>
      </c>
      <c r="D745" s="99" t="s">
        <v>401</v>
      </c>
      <c r="E745" s="99" t="s">
        <v>1294</v>
      </c>
      <c r="F745" s="94" t="s">
        <v>1341</v>
      </c>
      <c r="G745" s="95">
        <v>15.31</v>
      </c>
      <c r="H745" s="147">
        <f t="shared" ref="H745:H749" si="73">F745*G745</f>
        <v>0.45929999999999999</v>
      </c>
    </row>
    <row r="746" spans="2:8" ht="25.5">
      <c r="B746" s="145">
        <v>7292</v>
      </c>
      <c r="C746" s="98" t="s">
        <v>1542</v>
      </c>
      <c r="D746" s="99" t="s">
        <v>401</v>
      </c>
      <c r="E746" s="99" t="s">
        <v>1294</v>
      </c>
      <c r="F746" s="94" t="s">
        <v>1543</v>
      </c>
      <c r="G746" s="95">
        <v>35.39</v>
      </c>
      <c r="H746" s="147">
        <f t="shared" si="73"/>
        <v>5.0961599999999994</v>
      </c>
    </row>
    <row r="747" spans="2:8" ht="25.5">
      <c r="B747" s="145">
        <v>7307</v>
      </c>
      <c r="C747" s="98" t="s">
        <v>1544</v>
      </c>
      <c r="D747" s="99" t="s">
        <v>401</v>
      </c>
      <c r="E747" s="99" t="s">
        <v>1294</v>
      </c>
      <c r="F747" s="94" t="s">
        <v>1390</v>
      </c>
      <c r="G747" s="95">
        <v>38.17</v>
      </c>
      <c r="H747" s="147">
        <f t="shared" si="73"/>
        <v>4.5804</v>
      </c>
    </row>
    <row r="748" spans="2:8" ht="25.5">
      <c r="B748" s="145" t="s">
        <v>1385</v>
      </c>
      <c r="C748" s="98" t="s">
        <v>1386</v>
      </c>
      <c r="D748" s="99" t="s">
        <v>12</v>
      </c>
      <c r="E748" s="99" t="s">
        <v>1129</v>
      </c>
      <c r="F748" s="94" t="s">
        <v>1469</v>
      </c>
      <c r="G748" s="95">
        <v>26.13</v>
      </c>
      <c r="H748" s="147">
        <f t="shared" si="73"/>
        <v>20.904</v>
      </c>
    </row>
    <row r="749" spans="2:8" ht="25.5">
      <c r="B749" s="145" t="s">
        <v>1286</v>
      </c>
      <c r="C749" s="98" t="s">
        <v>1287</v>
      </c>
      <c r="D749" s="99" t="s">
        <v>12</v>
      </c>
      <c r="E749" s="99" t="s">
        <v>1129</v>
      </c>
      <c r="F749" s="94" t="s">
        <v>1469</v>
      </c>
      <c r="G749" s="95">
        <v>18.649999999999999</v>
      </c>
      <c r="H749" s="147">
        <f t="shared" si="73"/>
        <v>14.92</v>
      </c>
    </row>
    <row r="750" spans="2:8">
      <c r="B750" s="630" t="s">
        <v>1232</v>
      </c>
      <c r="C750" s="631"/>
      <c r="D750" s="631"/>
      <c r="E750" s="631"/>
      <c r="F750" s="631"/>
      <c r="G750" s="632"/>
      <c r="H750" s="148">
        <f>SUM(H744:H749)</f>
        <v>47.12086</v>
      </c>
    </row>
    <row r="751" spans="2:8">
      <c r="B751" s="621"/>
      <c r="C751" s="622"/>
      <c r="D751" s="622"/>
      <c r="E751" s="622"/>
      <c r="F751" s="622"/>
      <c r="G751" s="622"/>
      <c r="H751" s="623"/>
    </row>
    <row r="752" spans="2:8" ht="25.5">
      <c r="B752" s="139" t="s">
        <v>2026</v>
      </c>
      <c r="C752" s="140" t="s">
        <v>469</v>
      </c>
      <c r="D752" s="141" t="s">
        <v>12</v>
      </c>
      <c r="E752" s="141" t="s">
        <v>24</v>
      </c>
      <c r="F752" s="142"/>
      <c r="G752" s="143"/>
      <c r="H752" s="144"/>
    </row>
    <row r="753" spans="2:8" ht="38.25">
      <c r="B753" s="145">
        <v>37586</v>
      </c>
      <c r="C753" s="98" t="s">
        <v>1545</v>
      </c>
      <c r="D753" s="99" t="s">
        <v>401</v>
      </c>
      <c r="E753" s="99" t="s">
        <v>1398</v>
      </c>
      <c r="F753" s="94">
        <v>2.4299999999999999E-2</v>
      </c>
      <c r="G753" s="95">
        <v>46.53</v>
      </c>
      <c r="H753" s="147">
        <f>F753*G753</f>
        <v>1.130679</v>
      </c>
    </row>
    <row r="754" spans="2:8" ht="38.25">
      <c r="B754" s="145">
        <v>39413</v>
      </c>
      <c r="C754" s="98" t="s">
        <v>1527</v>
      </c>
      <c r="D754" s="99" t="s">
        <v>401</v>
      </c>
      <c r="E754" s="99" t="s">
        <v>24</v>
      </c>
      <c r="F754" s="94">
        <v>1.05</v>
      </c>
      <c r="G754" s="95">
        <v>17</v>
      </c>
      <c r="H754" s="147">
        <f t="shared" ref="H754:H764" si="74">F754*G754</f>
        <v>17.850000000000001</v>
      </c>
    </row>
    <row r="755" spans="2:8" ht="51">
      <c r="B755" s="145">
        <v>39419</v>
      </c>
      <c r="C755" s="98" t="s">
        <v>1546</v>
      </c>
      <c r="D755" s="99" t="s">
        <v>401</v>
      </c>
      <c r="E755" s="99" t="s">
        <v>15</v>
      </c>
      <c r="F755" s="94">
        <v>0.76039999999999996</v>
      </c>
      <c r="G755" s="95">
        <v>8.65</v>
      </c>
      <c r="H755" s="147">
        <f t="shared" si="74"/>
        <v>6.5774600000000003</v>
      </c>
    </row>
    <row r="756" spans="2:8" ht="51">
      <c r="B756" s="145">
        <v>39422</v>
      </c>
      <c r="C756" s="98" t="s">
        <v>1547</v>
      </c>
      <c r="D756" s="99" t="s">
        <v>401</v>
      </c>
      <c r="E756" s="99" t="s">
        <v>15</v>
      </c>
      <c r="F756" s="94">
        <v>1.99122807</v>
      </c>
      <c r="G756" s="95">
        <v>9.82</v>
      </c>
      <c r="H756" s="147">
        <f t="shared" si="74"/>
        <v>19.553859647399999</v>
      </c>
    </row>
    <row r="757" spans="2:8" ht="38.25">
      <c r="B757" s="145">
        <v>39431</v>
      </c>
      <c r="C757" s="98" t="s">
        <v>1548</v>
      </c>
      <c r="D757" s="99" t="s">
        <v>401</v>
      </c>
      <c r="E757" s="99" t="s">
        <v>15</v>
      </c>
      <c r="F757" s="94">
        <v>1.2608695649999999</v>
      </c>
      <c r="G757" s="95">
        <v>0.26</v>
      </c>
      <c r="H757" s="147">
        <f t="shared" si="74"/>
        <v>0.32782608689999998</v>
      </c>
    </row>
    <row r="758" spans="2:8" ht="38.25">
      <c r="B758" s="145">
        <v>39432</v>
      </c>
      <c r="C758" s="98" t="s">
        <v>1528</v>
      </c>
      <c r="D758" s="99" t="s">
        <v>401</v>
      </c>
      <c r="E758" s="99" t="s">
        <v>15</v>
      </c>
      <c r="F758" s="94">
        <v>0.35</v>
      </c>
      <c r="G758" s="95">
        <v>2.35</v>
      </c>
      <c r="H758" s="147">
        <f t="shared" si="74"/>
        <v>0.82250000000000001</v>
      </c>
    </row>
    <row r="759" spans="2:8" ht="63.75">
      <c r="B759" s="145">
        <v>39434</v>
      </c>
      <c r="C759" s="98" t="s">
        <v>1529</v>
      </c>
      <c r="D759" s="99" t="s">
        <v>401</v>
      </c>
      <c r="E759" s="99" t="s">
        <v>112</v>
      </c>
      <c r="F759" s="94">
        <v>0.52</v>
      </c>
      <c r="G759" s="95">
        <v>2.94</v>
      </c>
      <c r="H759" s="147">
        <f t="shared" si="74"/>
        <v>1.5287999999999999</v>
      </c>
    </row>
    <row r="760" spans="2:8" ht="51">
      <c r="B760" s="145">
        <v>39435</v>
      </c>
      <c r="C760" s="98" t="s">
        <v>1530</v>
      </c>
      <c r="D760" s="99" t="s">
        <v>401</v>
      </c>
      <c r="E760" s="99" t="s">
        <v>37</v>
      </c>
      <c r="F760" s="94">
        <v>10</v>
      </c>
      <c r="G760" s="95">
        <v>0.09</v>
      </c>
      <c r="H760" s="147">
        <f t="shared" si="74"/>
        <v>0.89999999999999991</v>
      </c>
    </row>
    <row r="761" spans="2:8" ht="39.75" customHeight="1">
      <c r="B761" s="145">
        <v>39443</v>
      </c>
      <c r="C761" s="98" t="s">
        <v>1533</v>
      </c>
      <c r="D761" s="99" t="s">
        <v>401</v>
      </c>
      <c r="E761" s="99" t="s">
        <v>37</v>
      </c>
      <c r="F761" s="94">
        <v>0.4</v>
      </c>
      <c r="G761" s="95">
        <v>0.23</v>
      </c>
      <c r="H761" s="147">
        <f t="shared" si="74"/>
        <v>9.2000000000000012E-2</v>
      </c>
    </row>
    <row r="762" spans="2:8" ht="25.5">
      <c r="B762" s="145" t="s">
        <v>2027</v>
      </c>
      <c r="C762" s="98" t="s">
        <v>1549</v>
      </c>
      <c r="D762" s="99" t="s">
        <v>12</v>
      </c>
      <c r="E762" s="99" t="s">
        <v>24</v>
      </c>
      <c r="F762" s="94">
        <v>1</v>
      </c>
      <c r="G762" s="95">
        <v>28.14</v>
      </c>
      <c r="H762" s="147">
        <f t="shared" si="74"/>
        <v>28.14</v>
      </c>
    </row>
    <row r="763" spans="2:8" ht="25.5">
      <c r="B763" s="145" t="s">
        <v>1531</v>
      </c>
      <c r="C763" s="98" t="s">
        <v>1532</v>
      </c>
      <c r="D763" s="99" t="s">
        <v>12</v>
      </c>
      <c r="E763" s="99" t="s">
        <v>1129</v>
      </c>
      <c r="F763" s="94">
        <v>0.54490000000000005</v>
      </c>
      <c r="G763" s="95">
        <v>19.100000000000001</v>
      </c>
      <c r="H763" s="147">
        <f t="shared" si="74"/>
        <v>10.407590000000003</v>
      </c>
    </row>
    <row r="764" spans="2:8" ht="25.5">
      <c r="B764" s="145" t="s">
        <v>1286</v>
      </c>
      <c r="C764" s="98" t="s">
        <v>1287</v>
      </c>
      <c r="D764" s="99" t="s">
        <v>12</v>
      </c>
      <c r="E764" s="99" t="s">
        <v>1129</v>
      </c>
      <c r="F764" s="94">
        <v>0.13619999999999999</v>
      </c>
      <c r="G764" s="95">
        <v>18.649999999999999</v>
      </c>
      <c r="H764" s="147">
        <f t="shared" si="74"/>
        <v>2.5401299999999996</v>
      </c>
    </row>
    <row r="765" spans="2:8">
      <c r="B765" s="630" t="s">
        <v>1232</v>
      </c>
      <c r="C765" s="631"/>
      <c r="D765" s="631"/>
      <c r="E765" s="631"/>
      <c r="F765" s="631"/>
      <c r="G765" s="632"/>
      <c r="H765" s="148">
        <f>SUM(H753:H764)</f>
        <v>89.870844734299993</v>
      </c>
    </row>
    <row r="766" spans="2:8">
      <c r="B766" s="621"/>
      <c r="C766" s="622"/>
      <c r="D766" s="622"/>
      <c r="E766" s="622"/>
      <c r="F766" s="622"/>
      <c r="G766" s="622"/>
      <c r="H766" s="623"/>
    </row>
    <row r="767" spans="2:8" ht="25.5">
      <c r="B767" s="139" t="s">
        <v>2028</v>
      </c>
      <c r="C767" s="140" t="s">
        <v>473</v>
      </c>
      <c r="D767" s="141" t="s">
        <v>12</v>
      </c>
      <c r="E767" s="141" t="s">
        <v>24</v>
      </c>
      <c r="F767" s="142"/>
      <c r="G767" s="143"/>
      <c r="H767" s="144"/>
    </row>
    <row r="768" spans="2:8" ht="51">
      <c r="B768" s="145">
        <v>4012</v>
      </c>
      <c r="C768" s="98" t="s">
        <v>1550</v>
      </c>
      <c r="D768" s="99" t="s">
        <v>401</v>
      </c>
      <c r="E768" s="99" t="s">
        <v>24</v>
      </c>
      <c r="F768" s="191">
        <v>1.049856184</v>
      </c>
      <c r="G768" s="95">
        <v>11.92</v>
      </c>
      <c r="H768" s="147">
        <f>F768*G768</f>
        <v>12.51428571328</v>
      </c>
    </row>
    <row r="769" spans="2:8" ht="25.5">
      <c r="B769" s="145" t="s">
        <v>1286</v>
      </c>
      <c r="C769" s="98" t="s">
        <v>1287</v>
      </c>
      <c r="D769" s="99" t="s">
        <v>12</v>
      </c>
      <c r="E769" s="99" t="s">
        <v>1129</v>
      </c>
      <c r="F769" s="94">
        <v>0.02</v>
      </c>
      <c r="G769" s="95">
        <v>18.649999999999999</v>
      </c>
      <c r="H769" s="147">
        <f>F769*G769</f>
        <v>0.373</v>
      </c>
    </row>
    <row r="770" spans="2:8">
      <c r="B770" s="630" t="s">
        <v>1232</v>
      </c>
      <c r="C770" s="631"/>
      <c r="D770" s="631"/>
      <c r="E770" s="631"/>
      <c r="F770" s="631"/>
      <c r="G770" s="632"/>
      <c r="H770" s="148">
        <f>SUM(H768:H769)</f>
        <v>12.887285713279999</v>
      </c>
    </row>
    <row r="771" spans="2:8">
      <c r="B771" s="621"/>
      <c r="C771" s="622"/>
      <c r="D771" s="622"/>
      <c r="E771" s="622"/>
      <c r="F771" s="622"/>
      <c r="G771" s="622"/>
      <c r="H771" s="623"/>
    </row>
    <row r="772" spans="2:8" ht="38.25">
      <c r="B772" s="139" t="s">
        <v>2029</v>
      </c>
      <c r="C772" s="140" t="s">
        <v>475</v>
      </c>
      <c r="D772" s="141" t="s">
        <v>12</v>
      </c>
      <c r="E772" s="141" t="s">
        <v>24</v>
      </c>
      <c r="F772" s="142"/>
      <c r="G772" s="143"/>
      <c r="H772" s="144"/>
    </row>
    <row r="773" spans="2:8">
      <c r="B773" s="145">
        <v>88243</v>
      </c>
      <c r="C773" s="98" t="s">
        <v>1228</v>
      </c>
      <c r="D773" s="99" t="s">
        <v>1229</v>
      </c>
      <c r="E773" s="99" t="s">
        <v>1129</v>
      </c>
      <c r="F773" s="94" t="s">
        <v>1279</v>
      </c>
      <c r="G773" s="95">
        <v>22.06</v>
      </c>
      <c r="H773" s="147">
        <f>F773*G773</f>
        <v>2.206</v>
      </c>
    </row>
    <row r="774" spans="2:8">
      <c r="B774" s="145">
        <v>88270</v>
      </c>
      <c r="C774" s="98" t="s">
        <v>2030</v>
      </c>
      <c r="D774" s="99" t="s">
        <v>1229</v>
      </c>
      <c r="E774" s="99" t="s">
        <v>1129</v>
      </c>
      <c r="F774" s="94" t="s">
        <v>1279</v>
      </c>
      <c r="G774" s="95">
        <v>25.07</v>
      </c>
      <c r="H774" s="147">
        <f t="shared" ref="H774:H775" si="75">F774*G774</f>
        <v>2.5070000000000001</v>
      </c>
    </row>
    <row r="775" spans="2:8">
      <c r="B775" s="145" t="s">
        <v>1551</v>
      </c>
      <c r="C775" s="98" t="s">
        <v>1552</v>
      </c>
      <c r="D775" s="99" t="s">
        <v>401</v>
      </c>
      <c r="E775" s="99" t="s">
        <v>112</v>
      </c>
      <c r="F775" s="94" t="s">
        <v>1406</v>
      </c>
      <c r="G775" s="95">
        <f>15.7*1.2217</f>
        <v>19.180689999999998</v>
      </c>
      <c r="H775" s="147">
        <f t="shared" si="75"/>
        <v>13.426482999999998</v>
      </c>
    </row>
    <row r="776" spans="2:8">
      <c r="B776" s="630" t="s">
        <v>1232</v>
      </c>
      <c r="C776" s="631"/>
      <c r="D776" s="631"/>
      <c r="E776" s="631"/>
      <c r="F776" s="631"/>
      <c r="G776" s="632"/>
      <c r="H776" s="148">
        <f>SUM(H773:H775)</f>
        <v>18.139482999999998</v>
      </c>
    </row>
    <row r="777" spans="2:8">
      <c r="B777" s="621"/>
      <c r="C777" s="622"/>
      <c r="D777" s="622"/>
      <c r="E777" s="622"/>
      <c r="F777" s="622"/>
      <c r="G777" s="622"/>
      <c r="H777" s="623"/>
    </row>
    <row r="778" spans="2:8" ht="81.75" customHeight="1">
      <c r="B778" s="139" t="s">
        <v>2031</v>
      </c>
      <c r="C778" s="140" t="s">
        <v>1844</v>
      </c>
      <c r="D778" s="141" t="s">
        <v>12</v>
      </c>
      <c r="E778" s="141" t="s">
        <v>24</v>
      </c>
      <c r="F778" s="142"/>
      <c r="G778" s="143"/>
      <c r="H778" s="144"/>
    </row>
    <row r="779" spans="2:8" ht="15" customHeight="1">
      <c r="B779" s="145">
        <v>1379</v>
      </c>
      <c r="C779" s="98" t="s">
        <v>1517</v>
      </c>
      <c r="D779" s="99" t="s">
        <v>401</v>
      </c>
      <c r="E779" s="99" t="s">
        <v>112</v>
      </c>
      <c r="F779" s="94">
        <v>60.75</v>
      </c>
      <c r="G779" s="95">
        <v>0.62</v>
      </c>
      <c r="H779" s="147">
        <f>F779*G779</f>
        <v>37.664999999999999</v>
      </c>
    </row>
    <row r="780" spans="2:8" ht="15" customHeight="1">
      <c r="B780" s="145">
        <v>367</v>
      </c>
      <c r="C780" s="98" t="s">
        <v>1846</v>
      </c>
      <c r="D780" s="99" t="s">
        <v>401</v>
      </c>
      <c r="E780" s="99" t="s">
        <v>75</v>
      </c>
      <c r="F780" s="94">
        <v>8.1000000000000003E-2</v>
      </c>
      <c r="G780" s="95">
        <v>141.66999999999999</v>
      </c>
      <c r="H780" s="147">
        <f t="shared" ref="H780:H783" si="76">F780*G780</f>
        <v>11.47527</v>
      </c>
    </row>
    <row r="781" spans="2:8" ht="25.5">
      <c r="B781" s="145">
        <v>34549</v>
      </c>
      <c r="C781" s="98" t="s">
        <v>1847</v>
      </c>
      <c r="D781" s="99" t="s">
        <v>401</v>
      </c>
      <c r="E781" s="99" t="s">
        <v>75</v>
      </c>
      <c r="F781" s="94">
        <v>0.17549999999999999</v>
      </c>
      <c r="G781" s="95">
        <v>187.5</v>
      </c>
      <c r="H781" s="147">
        <f t="shared" si="76"/>
        <v>32.90625</v>
      </c>
    </row>
    <row r="782" spans="2:8" ht="25.5">
      <c r="B782" s="145" t="s">
        <v>1338</v>
      </c>
      <c r="C782" s="98" t="s">
        <v>1339</v>
      </c>
      <c r="D782" s="99" t="s">
        <v>12</v>
      </c>
      <c r="E782" s="99" t="s">
        <v>1129</v>
      </c>
      <c r="F782" s="94">
        <v>0.69</v>
      </c>
      <c r="G782" s="95">
        <v>25.07</v>
      </c>
      <c r="H782" s="147">
        <f t="shared" si="76"/>
        <v>17.298299999999998</v>
      </c>
    </row>
    <row r="783" spans="2:8" ht="25.5">
      <c r="B783" s="145" t="s">
        <v>1286</v>
      </c>
      <c r="C783" s="98" t="s">
        <v>1287</v>
      </c>
      <c r="D783" s="99" t="s">
        <v>12</v>
      </c>
      <c r="E783" s="99" t="s">
        <v>1129</v>
      </c>
      <c r="F783" s="94">
        <v>0.34499999999999997</v>
      </c>
      <c r="G783" s="95">
        <v>18.649999999999999</v>
      </c>
      <c r="H783" s="147">
        <f t="shared" si="76"/>
        <v>6.4342499999999987</v>
      </c>
    </row>
    <row r="784" spans="2:8">
      <c r="B784" s="630" t="s">
        <v>1232</v>
      </c>
      <c r="C784" s="631"/>
      <c r="D784" s="631"/>
      <c r="E784" s="631"/>
      <c r="F784" s="631"/>
      <c r="G784" s="632"/>
      <c r="H784" s="148">
        <f>SUM(H779:H783)</f>
        <v>105.77906999999999</v>
      </c>
    </row>
    <row r="785" spans="2:8">
      <c r="B785" s="621"/>
      <c r="C785" s="622"/>
      <c r="D785" s="622"/>
      <c r="E785" s="622"/>
      <c r="F785" s="622"/>
      <c r="G785" s="622"/>
      <c r="H785" s="623"/>
    </row>
    <row r="786" spans="2:8" ht="76.5">
      <c r="B786" s="139" t="s">
        <v>2032</v>
      </c>
      <c r="C786" s="140" t="s">
        <v>1845</v>
      </c>
      <c r="D786" s="141" t="s">
        <v>12</v>
      </c>
      <c r="E786" s="141" t="s">
        <v>24</v>
      </c>
      <c r="F786" s="142"/>
      <c r="G786" s="143"/>
      <c r="H786" s="144"/>
    </row>
    <row r="787" spans="2:8" ht="15" customHeight="1">
      <c r="B787" s="145">
        <v>1379</v>
      </c>
      <c r="C787" s="98" t="s">
        <v>1517</v>
      </c>
      <c r="D787" s="99" t="s">
        <v>401</v>
      </c>
      <c r="E787" s="99" t="s">
        <v>112</v>
      </c>
      <c r="F787" s="94">
        <v>33.75</v>
      </c>
      <c r="G787" s="95">
        <v>0.62</v>
      </c>
      <c r="H787" s="147">
        <f>F787*G787</f>
        <v>20.925000000000001</v>
      </c>
    </row>
    <row r="788" spans="2:8">
      <c r="B788" s="145">
        <v>367</v>
      </c>
      <c r="C788" s="98" t="s">
        <v>1846</v>
      </c>
      <c r="D788" s="99" t="s">
        <v>401</v>
      </c>
      <c r="E788" s="99" t="s">
        <v>75</v>
      </c>
      <c r="F788" s="94">
        <v>4.4999999999999998E-2</v>
      </c>
      <c r="G788" s="95">
        <v>141.66999999999999</v>
      </c>
      <c r="H788" s="147">
        <f t="shared" ref="H788:H791" si="77">F788*G788</f>
        <v>6.3751499999999988</v>
      </c>
    </row>
    <row r="789" spans="2:8" ht="25.5">
      <c r="B789" s="145">
        <v>34549</v>
      </c>
      <c r="C789" s="98" t="s">
        <v>1847</v>
      </c>
      <c r="D789" s="99" t="s">
        <v>401</v>
      </c>
      <c r="E789" s="99" t="s">
        <v>75</v>
      </c>
      <c r="F789" s="94">
        <v>9.7500000000000003E-2</v>
      </c>
      <c r="G789" s="95">
        <v>187.5</v>
      </c>
      <c r="H789" s="147">
        <f t="shared" si="77"/>
        <v>18.28125</v>
      </c>
    </row>
    <row r="790" spans="2:8" ht="25.5">
      <c r="B790" s="145" t="s">
        <v>1338</v>
      </c>
      <c r="C790" s="98" t="s">
        <v>1339</v>
      </c>
      <c r="D790" s="99" t="s">
        <v>12</v>
      </c>
      <c r="E790" s="99" t="s">
        <v>1129</v>
      </c>
      <c r="F790" s="94" t="s">
        <v>1553</v>
      </c>
      <c r="G790" s="95">
        <v>25.07</v>
      </c>
      <c r="H790" s="147">
        <f t="shared" si="77"/>
        <v>17.298299999999998</v>
      </c>
    </row>
    <row r="791" spans="2:8" ht="25.5">
      <c r="B791" s="145" t="s">
        <v>1286</v>
      </c>
      <c r="C791" s="98" t="s">
        <v>1287</v>
      </c>
      <c r="D791" s="99" t="s">
        <v>12</v>
      </c>
      <c r="E791" s="99" t="s">
        <v>1129</v>
      </c>
      <c r="F791" s="94" t="s">
        <v>1554</v>
      </c>
      <c r="G791" s="95">
        <v>18.649999999999999</v>
      </c>
      <c r="H791" s="147">
        <f t="shared" si="77"/>
        <v>6.4342499999999987</v>
      </c>
    </row>
    <row r="792" spans="2:8">
      <c r="B792" s="630" t="s">
        <v>1232</v>
      </c>
      <c r="C792" s="631"/>
      <c r="D792" s="631"/>
      <c r="E792" s="631"/>
      <c r="F792" s="631"/>
      <c r="G792" s="632"/>
      <c r="H792" s="148">
        <f>SUM(H787:H791)</f>
        <v>69.313950000000006</v>
      </c>
    </row>
    <row r="793" spans="2:8">
      <c r="B793" s="621"/>
      <c r="C793" s="622"/>
      <c r="D793" s="622"/>
      <c r="E793" s="622"/>
      <c r="F793" s="622"/>
      <c r="G793" s="622"/>
      <c r="H793" s="623"/>
    </row>
    <row r="794" spans="2:8" ht="63.75">
      <c r="B794" s="139" t="s">
        <v>2033</v>
      </c>
      <c r="C794" s="140" t="s">
        <v>478</v>
      </c>
      <c r="D794" s="141" t="s">
        <v>12</v>
      </c>
      <c r="E794" s="141" t="s">
        <v>24</v>
      </c>
      <c r="F794" s="142"/>
      <c r="G794" s="143"/>
      <c r="H794" s="144"/>
    </row>
    <row r="795" spans="2:8" ht="15" customHeight="1">
      <c r="B795" s="145">
        <v>1379</v>
      </c>
      <c r="C795" s="98" t="s">
        <v>1517</v>
      </c>
      <c r="D795" s="99" t="s">
        <v>401</v>
      </c>
      <c r="E795" s="99" t="s">
        <v>112</v>
      </c>
      <c r="F795" s="94" t="s">
        <v>1280</v>
      </c>
      <c r="G795" s="95">
        <v>0.62</v>
      </c>
      <c r="H795" s="147">
        <f>F795*G795</f>
        <v>0.31</v>
      </c>
    </row>
    <row r="796" spans="2:8" ht="51">
      <c r="B796" s="145" t="s">
        <v>1518</v>
      </c>
      <c r="C796" s="98" t="s">
        <v>1519</v>
      </c>
      <c r="D796" s="99" t="s">
        <v>12</v>
      </c>
      <c r="E796" s="99" t="s">
        <v>75</v>
      </c>
      <c r="F796" s="94" t="s">
        <v>1375</v>
      </c>
      <c r="G796" s="95">
        <v>570.73</v>
      </c>
      <c r="H796" s="147">
        <f t="shared" ref="H796:H798" si="78">F796*G796</f>
        <v>19.975550000000002</v>
      </c>
    </row>
    <row r="797" spans="2:8" ht="25.5">
      <c r="B797" s="145" t="s">
        <v>1338</v>
      </c>
      <c r="C797" s="98" t="s">
        <v>1339</v>
      </c>
      <c r="D797" s="99" t="s">
        <v>12</v>
      </c>
      <c r="E797" s="99" t="s">
        <v>1129</v>
      </c>
      <c r="F797" s="94" t="s">
        <v>1553</v>
      </c>
      <c r="G797" s="95">
        <v>25.07</v>
      </c>
      <c r="H797" s="147">
        <f t="shared" si="78"/>
        <v>17.298299999999998</v>
      </c>
    </row>
    <row r="798" spans="2:8" ht="25.5">
      <c r="B798" s="145" t="s">
        <v>1286</v>
      </c>
      <c r="C798" s="98" t="s">
        <v>1287</v>
      </c>
      <c r="D798" s="99" t="s">
        <v>12</v>
      </c>
      <c r="E798" s="99" t="s">
        <v>1129</v>
      </c>
      <c r="F798" s="94" t="s">
        <v>1554</v>
      </c>
      <c r="G798" s="95">
        <v>18.649999999999999</v>
      </c>
      <c r="H798" s="147">
        <f t="shared" si="78"/>
        <v>6.4342499999999987</v>
      </c>
    </row>
    <row r="799" spans="2:8">
      <c r="B799" s="630" t="s">
        <v>1232</v>
      </c>
      <c r="C799" s="631"/>
      <c r="D799" s="631"/>
      <c r="E799" s="631"/>
      <c r="F799" s="631"/>
      <c r="G799" s="632"/>
      <c r="H799" s="148">
        <f>SUM(H795:H798)</f>
        <v>44.018099999999997</v>
      </c>
    </row>
    <row r="800" spans="2:8">
      <c r="B800" s="627"/>
      <c r="C800" s="628"/>
      <c r="D800" s="628"/>
      <c r="E800" s="628"/>
      <c r="F800" s="628"/>
      <c r="G800" s="628"/>
      <c r="H800" s="629"/>
    </row>
    <row r="801" spans="2:8" ht="51">
      <c r="B801" s="139" t="s">
        <v>2034</v>
      </c>
      <c r="C801" s="140" t="s">
        <v>480</v>
      </c>
      <c r="D801" s="141" t="s">
        <v>12</v>
      </c>
      <c r="E801" s="141" t="s">
        <v>24</v>
      </c>
      <c r="F801" s="142"/>
      <c r="G801" s="143"/>
      <c r="H801" s="144"/>
    </row>
    <row r="802" spans="2:8">
      <c r="B802" s="145">
        <v>370</v>
      </c>
      <c r="C802" s="98" t="s">
        <v>1555</v>
      </c>
      <c r="D802" s="99" t="s">
        <v>401</v>
      </c>
      <c r="E802" s="99" t="s">
        <v>75</v>
      </c>
      <c r="F802" s="94">
        <v>2.3E-2</v>
      </c>
      <c r="G802" s="95">
        <v>141</v>
      </c>
      <c r="H802" s="147">
        <f>F802*G802</f>
        <v>3.2429999999999999</v>
      </c>
    </row>
    <row r="803" spans="2:8" ht="38.25">
      <c r="B803" s="145">
        <v>98546</v>
      </c>
      <c r="C803" s="98" t="s">
        <v>2035</v>
      </c>
      <c r="D803" s="99" t="s">
        <v>1556</v>
      </c>
      <c r="E803" s="99" t="s">
        <v>1129</v>
      </c>
      <c r="F803" s="94">
        <v>1</v>
      </c>
      <c r="G803" s="95">
        <v>86.05</v>
      </c>
      <c r="H803" s="147">
        <f t="shared" ref="H803:H806" si="79">F803*G803</f>
        <v>86.05</v>
      </c>
    </row>
    <row r="804" spans="2:8">
      <c r="B804" s="145">
        <v>1379</v>
      </c>
      <c r="C804" s="98" t="s">
        <v>2036</v>
      </c>
      <c r="D804" s="99" t="s">
        <v>401</v>
      </c>
      <c r="E804" s="99" t="s">
        <v>112</v>
      </c>
      <c r="F804" s="94">
        <v>9.4565217389999994</v>
      </c>
      <c r="G804" s="95">
        <v>0.62</v>
      </c>
      <c r="H804" s="147">
        <f t="shared" si="79"/>
        <v>5.8630434781799998</v>
      </c>
    </row>
    <row r="805" spans="2:8">
      <c r="B805" s="145">
        <v>38366</v>
      </c>
      <c r="C805" s="98" t="s">
        <v>2037</v>
      </c>
      <c r="D805" s="99" t="s">
        <v>401</v>
      </c>
      <c r="E805" s="99" t="s">
        <v>24</v>
      </c>
      <c r="F805" s="94">
        <v>1.1000000000000001</v>
      </c>
      <c r="G805" s="95">
        <v>4.32</v>
      </c>
      <c r="H805" s="147">
        <f t="shared" si="79"/>
        <v>4.7520000000000007</v>
      </c>
    </row>
    <row r="806" spans="2:8" ht="25.5">
      <c r="B806" s="145" t="s">
        <v>1557</v>
      </c>
      <c r="C806" s="98" t="s">
        <v>1558</v>
      </c>
      <c r="D806" s="99" t="s">
        <v>401</v>
      </c>
      <c r="E806" s="99" t="s">
        <v>24</v>
      </c>
      <c r="F806" s="94">
        <v>1.1500757960000001</v>
      </c>
      <c r="G806" s="95">
        <f>19.79*1.2217</f>
        <v>24.177443</v>
      </c>
      <c r="H806" s="147">
        <f t="shared" si="79"/>
        <v>27.80589200346963</v>
      </c>
    </row>
    <row r="807" spans="2:8">
      <c r="B807" s="630" t="s">
        <v>1232</v>
      </c>
      <c r="C807" s="631"/>
      <c r="D807" s="631"/>
      <c r="E807" s="631"/>
      <c r="F807" s="631"/>
      <c r="G807" s="632"/>
      <c r="H807" s="148">
        <f>SUM(H802:H806)</f>
        <v>127.71393548164963</v>
      </c>
    </row>
    <row r="808" spans="2:8">
      <c r="B808" s="627"/>
      <c r="C808" s="628"/>
      <c r="D808" s="628"/>
      <c r="E808" s="628"/>
      <c r="F808" s="628"/>
      <c r="G808" s="628"/>
      <c r="H808" s="629"/>
    </row>
    <row r="809" spans="2:8" ht="25.5">
      <c r="B809" s="139" t="s">
        <v>2038</v>
      </c>
      <c r="C809" s="140" t="s">
        <v>500</v>
      </c>
      <c r="D809" s="141" t="s">
        <v>12</v>
      </c>
      <c r="E809" s="141" t="s">
        <v>15</v>
      </c>
      <c r="F809" s="142"/>
      <c r="G809" s="143"/>
      <c r="H809" s="144"/>
    </row>
    <row r="810" spans="2:8" ht="15" customHeight="1">
      <c r="B810" s="145">
        <v>1379</v>
      </c>
      <c r="C810" s="98" t="s">
        <v>1517</v>
      </c>
      <c r="D810" s="99" t="s">
        <v>401</v>
      </c>
      <c r="E810" s="99" t="s">
        <v>112</v>
      </c>
      <c r="F810" s="94">
        <v>4.2093023260000004</v>
      </c>
      <c r="G810" s="95">
        <v>0.62</v>
      </c>
      <c r="H810" s="147">
        <f>F810*G810</f>
        <v>2.6097674421200003</v>
      </c>
    </row>
    <row r="811" spans="2:8" ht="38.25">
      <c r="B811" s="145">
        <v>370</v>
      </c>
      <c r="C811" s="98" t="s">
        <v>1560</v>
      </c>
      <c r="D811" s="99" t="s">
        <v>401</v>
      </c>
      <c r="E811" s="99" t="s">
        <v>75</v>
      </c>
      <c r="F811" s="94" t="s">
        <v>1241</v>
      </c>
      <c r="G811" s="95">
        <v>141</v>
      </c>
      <c r="H811" s="147">
        <f t="shared" ref="H811:H814" si="80">F811*G811</f>
        <v>1.41</v>
      </c>
    </row>
    <row r="812" spans="2:8" ht="51">
      <c r="B812" s="145">
        <v>4824</v>
      </c>
      <c r="C812" s="98" t="s">
        <v>1561</v>
      </c>
      <c r="D812" s="99" t="s">
        <v>401</v>
      </c>
      <c r="E812" s="99" t="s">
        <v>112</v>
      </c>
      <c r="F812" s="94">
        <v>3.1851851849999999</v>
      </c>
      <c r="G812" s="95">
        <v>0.32</v>
      </c>
      <c r="H812" s="147">
        <f t="shared" si="80"/>
        <v>1.0192592592</v>
      </c>
    </row>
    <row r="813" spans="2:8" ht="25.5">
      <c r="B813" s="145" t="s">
        <v>1338</v>
      </c>
      <c r="C813" s="98" t="s">
        <v>1339</v>
      </c>
      <c r="D813" s="99" t="s">
        <v>12</v>
      </c>
      <c r="E813" s="99" t="s">
        <v>1129</v>
      </c>
      <c r="F813" s="94" t="s">
        <v>1562</v>
      </c>
      <c r="G813" s="95">
        <v>25.07</v>
      </c>
      <c r="H813" s="147">
        <f t="shared" si="80"/>
        <v>13.537800000000001</v>
      </c>
    </row>
    <row r="814" spans="2:8" ht="25.5">
      <c r="B814" s="145" t="s">
        <v>1286</v>
      </c>
      <c r="C814" s="98" t="s">
        <v>1287</v>
      </c>
      <c r="D814" s="99" t="s">
        <v>12</v>
      </c>
      <c r="E814" s="99" t="s">
        <v>1129</v>
      </c>
      <c r="F814" s="94" t="s">
        <v>1343</v>
      </c>
      <c r="G814" s="95">
        <v>18.649999999999999</v>
      </c>
      <c r="H814" s="147">
        <f t="shared" si="80"/>
        <v>11.19</v>
      </c>
    </row>
    <row r="815" spans="2:8">
      <c r="B815" s="630" t="s">
        <v>1232</v>
      </c>
      <c r="C815" s="631"/>
      <c r="D815" s="631"/>
      <c r="E815" s="631"/>
      <c r="F815" s="631"/>
      <c r="G815" s="632"/>
      <c r="H815" s="148">
        <f>SUM(H810:H814)</f>
        <v>29.766826701319999</v>
      </c>
    </row>
    <row r="816" spans="2:8">
      <c r="B816" s="627"/>
      <c r="C816" s="628"/>
      <c r="D816" s="628"/>
      <c r="E816" s="628"/>
      <c r="F816" s="628"/>
      <c r="G816" s="628"/>
      <c r="H816" s="629"/>
    </row>
    <row r="817" spans="2:8" ht="38.25">
      <c r="B817" s="139" t="s">
        <v>2039</v>
      </c>
      <c r="C817" s="140" t="s">
        <v>506</v>
      </c>
      <c r="D817" s="141" t="s">
        <v>12</v>
      </c>
      <c r="E817" s="141" t="s">
        <v>507</v>
      </c>
      <c r="F817" s="142"/>
      <c r="G817" s="143"/>
      <c r="H817" s="144"/>
    </row>
    <row r="818" spans="2:8" ht="38.25">
      <c r="B818" s="145">
        <v>3733</v>
      </c>
      <c r="C818" s="98" t="s">
        <v>1563</v>
      </c>
      <c r="D818" s="99" t="s">
        <v>401</v>
      </c>
      <c r="E818" s="99" t="s">
        <v>24</v>
      </c>
      <c r="F818" s="94">
        <v>1.0299578060000001</v>
      </c>
      <c r="G818" s="95">
        <v>60.52</v>
      </c>
      <c r="H818" s="147">
        <f>F818*G818</f>
        <v>62.333046419120009</v>
      </c>
    </row>
    <row r="819" spans="2:8">
      <c r="B819" s="145">
        <v>37595</v>
      </c>
      <c r="C819" s="98" t="s">
        <v>1564</v>
      </c>
      <c r="D819" s="99" t="s">
        <v>401</v>
      </c>
      <c r="E819" s="99" t="s">
        <v>112</v>
      </c>
      <c r="F819" s="94">
        <v>5</v>
      </c>
      <c r="G819" s="95">
        <v>1.66</v>
      </c>
      <c r="H819" s="147">
        <f t="shared" ref="H819:H821" si="81">F819*G819</f>
        <v>8.2999999999999989</v>
      </c>
    </row>
    <row r="820" spans="2:8" ht="25.5">
      <c r="B820" s="145">
        <v>7353</v>
      </c>
      <c r="C820" s="98" t="s">
        <v>1565</v>
      </c>
      <c r="D820" s="99" t="s">
        <v>401</v>
      </c>
      <c r="E820" s="99" t="s">
        <v>1294</v>
      </c>
      <c r="F820" s="94" t="s">
        <v>1390</v>
      </c>
      <c r="G820" s="95">
        <v>26.21</v>
      </c>
      <c r="H820" s="147">
        <f t="shared" si="81"/>
        <v>3.1452</v>
      </c>
    </row>
    <row r="821" spans="2:8" ht="25.5">
      <c r="B821" s="145" t="s">
        <v>1338</v>
      </c>
      <c r="C821" s="98" t="s">
        <v>1339</v>
      </c>
      <c r="D821" s="99" t="s">
        <v>12</v>
      </c>
      <c r="E821" s="99" t="s">
        <v>1129</v>
      </c>
      <c r="F821" s="94" t="s">
        <v>1468</v>
      </c>
      <c r="G821" s="95">
        <v>25.07</v>
      </c>
      <c r="H821" s="147">
        <f t="shared" si="81"/>
        <v>8.7744999999999997</v>
      </c>
    </row>
    <row r="822" spans="2:8" ht="25.5">
      <c r="B822" s="145" t="s">
        <v>1286</v>
      </c>
      <c r="C822" s="98" t="s">
        <v>1287</v>
      </c>
      <c r="D822" s="99" t="s">
        <v>12</v>
      </c>
      <c r="E822" s="99" t="s">
        <v>1129</v>
      </c>
      <c r="F822" s="94" t="s">
        <v>1406</v>
      </c>
      <c r="G822" s="95">
        <v>18.649999999999999</v>
      </c>
      <c r="H822" s="147">
        <f>F822*G822</f>
        <v>13.054999999999998</v>
      </c>
    </row>
    <row r="823" spans="2:8">
      <c r="B823" s="630" t="s">
        <v>1232</v>
      </c>
      <c r="C823" s="631"/>
      <c r="D823" s="631"/>
      <c r="E823" s="631"/>
      <c r="F823" s="631"/>
      <c r="G823" s="632"/>
      <c r="H823" s="148">
        <f>SUM(H818:H822)</f>
        <v>95.607746419120005</v>
      </c>
    </row>
    <row r="824" spans="2:8">
      <c r="B824" s="621"/>
      <c r="C824" s="622"/>
      <c r="D824" s="622"/>
      <c r="E824" s="622"/>
      <c r="F824" s="622"/>
      <c r="G824" s="622"/>
      <c r="H824" s="623"/>
    </row>
    <row r="825" spans="2:8" ht="38.25">
      <c r="B825" s="139" t="s">
        <v>2040</v>
      </c>
      <c r="C825" s="140" t="s">
        <v>509</v>
      </c>
      <c r="D825" s="141" t="s">
        <v>12</v>
      </c>
      <c r="E825" s="141" t="s">
        <v>15</v>
      </c>
      <c r="F825" s="142"/>
      <c r="G825" s="143"/>
      <c r="H825" s="144"/>
    </row>
    <row r="826" spans="2:8" ht="25.5">
      <c r="B826" s="145" t="s">
        <v>1566</v>
      </c>
      <c r="C826" s="98" t="s">
        <v>1567</v>
      </c>
      <c r="D826" s="99" t="s">
        <v>1303</v>
      </c>
      <c r="E826" s="99" t="s">
        <v>15</v>
      </c>
      <c r="F826" s="94">
        <v>1</v>
      </c>
      <c r="G826" s="95">
        <f>118.5*1.2217</f>
        <v>144.77144999999999</v>
      </c>
      <c r="H826" s="147">
        <f>F826*G826</f>
        <v>144.77144999999999</v>
      </c>
    </row>
    <row r="827" spans="2:8">
      <c r="B827" s="145">
        <v>88316</v>
      </c>
      <c r="C827" s="98" t="s">
        <v>1247</v>
      </c>
      <c r="D827" s="99" t="s">
        <v>1229</v>
      </c>
      <c r="E827" s="99" t="s">
        <v>1129</v>
      </c>
      <c r="F827" s="94" t="s">
        <v>1276</v>
      </c>
      <c r="G827" s="95">
        <v>18.649999999999999</v>
      </c>
      <c r="H827" s="147">
        <f t="shared" ref="H827:H828" si="82">F827*G827</f>
        <v>1.1189999999999998</v>
      </c>
    </row>
    <row r="828" spans="2:8" ht="25.5">
      <c r="B828" s="145" t="s">
        <v>1568</v>
      </c>
      <c r="C828" s="98" t="s">
        <v>1569</v>
      </c>
      <c r="D828" s="99" t="s">
        <v>12</v>
      </c>
      <c r="E828" s="99" t="s">
        <v>75</v>
      </c>
      <c r="F828" s="94" t="s">
        <v>1570</v>
      </c>
      <c r="G828" s="95">
        <f>471.98*1.2217</f>
        <v>576.61796600000002</v>
      </c>
      <c r="H828" s="147">
        <f t="shared" si="82"/>
        <v>3.6038622875000001</v>
      </c>
    </row>
    <row r="829" spans="2:8">
      <c r="B829" s="630" t="s">
        <v>1232</v>
      </c>
      <c r="C829" s="631"/>
      <c r="D829" s="631"/>
      <c r="E829" s="631"/>
      <c r="F829" s="631"/>
      <c r="G829" s="632"/>
      <c r="H829" s="148">
        <f>SUM(H826:H828)</f>
        <v>149.49431228749998</v>
      </c>
    </row>
    <row r="830" spans="2:8">
      <c r="B830" s="627"/>
      <c r="C830" s="628"/>
      <c r="D830" s="628"/>
      <c r="E830" s="628"/>
      <c r="F830" s="628"/>
      <c r="G830" s="628"/>
      <c r="H830" s="629"/>
    </row>
    <row r="831" spans="2:8" ht="63.75">
      <c r="B831" s="139" t="s">
        <v>2041</v>
      </c>
      <c r="C831" s="140" t="s">
        <v>2042</v>
      </c>
      <c r="D831" s="141" t="s">
        <v>12</v>
      </c>
      <c r="E831" s="141" t="s">
        <v>15</v>
      </c>
      <c r="F831" s="142"/>
      <c r="G831" s="143"/>
      <c r="H831" s="144"/>
    </row>
    <row r="832" spans="2:8" ht="51">
      <c r="B832" s="145">
        <v>11795</v>
      </c>
      <c r="C832" s="98" t="s">
        <v>1404</v>
      </c>
      <c r="D832" s="99" t="s">
        <v>401</v>
      </c>
      <c r="E832" s="99" t="s">
        <v>24</v>
      </c>
      <c r="F832" s="94" t="s">
        <v>1571</v>
      </c>
      <c r="G832" s="95">
        <v>573.58000000000004</v>
      </c>
      <c r="H832" s="147">
        <f>F832*G832</f>
        <v>453.12820000000005</v>
      </c>
    </row>
    <row r="833" spans="2:8">
      <c r="B833" s="145">
        <v>37329</v>
      </c>
      <c r="C833" s="98" t="s">
        <v>1572</v>
      </c>
      <c r="D833" s="99" t="s">
        <v>401</v>
      </c>
      <c r="E833" s="99" t="s">
        <v>112</v>
      </c>
      <c r="F833" s="94" t="s">
        <v>1573</v>
      </c>
      <c r="G833" s="95">
        <v>66.78</v>
      </c>
      <c r="H833" s="147">
        <f t="shared" ref="H833:H838" si="83">F833*G833</f>
        <v>1.7162460000000002</v>
      </c>
    </row>
    <row r="834" spans="2:8" ht="38.25">
      <c r="B834" s="145">
        <v>37590</v>
      </c>
      <c r="C834" s="98" t="s">
        <v>1574</v>
      </c>
      <c r="D834" s="99" t="s">
        <v>401</v>
      </c>
      <c r="E834" s="99" t="s">
        <v>37</v>
      </c>
      <c r="F834" s="94">
        <v>2</v>
      </c>
      <c r="G834" s="95">
        <v>20.49</v>
      </c>
      <c r="H834" s="147">
        <f t="shared" si="83"/>
        <v>40.98</v>
      </c>
    </row>
    <row r="835" spans="2:8" ht="25.5">
      <c r="B835" s="145">
        <v>4823</v>
      </c>
      <c r="C835" s="98" t="s">
        <v>1575</v>
      </c>
      <c r="D835" s="99" t="s">
        <v>401</v>
      </c>
      <c r="E835" s="99" t="s">
        <v>112</v>
      </c>
      <c r="F835" s="94" t="s">
        <v>1576</v>
      </c>
      <c r="G835" s="95">
        <v>40.229999999999997</v>
      </c>
      <c r="H835" s="147">
        <f t="shared" si="83"/>
        <v>15.464411999999999</v>
      </c>
    </row>
    <row r="836" spans="2:8" ht="51">
      <c r="B836" s="145">
        <v>7568</v>
      </c>
      <c r="C836" s="98" t="s">
        <v>1465</v>
      </c>
      <c r="D836" s="99" t="s">
        <v>401</v>
      </c>
      <c r="E836" s="99" t="s">
        <v>37</v>
      </c>
      <c r="F836" s="94">
        <v>6</v>
      </c>
      <c r="G836" s="95">
        <v>0.98</v>
      </c>
      <c r="H836" s="147">
        <f t="shared" si="83"/>
        <v>5.88</v>
      </c>
    </row>
    <row r="837" spans="2:8" ht="25.5">
      <c r="B837" s="145" t="s">
        <v>1407</v>
      </c>
      <c r="C837" s="98" t="s">
        <v>1408</v>
      </c>
      <c r="D837" s="99" t="s">
        <v>12</v>
      </c>
      <c r="E837" s="99" t="s">
        <v>1129</v>
      </c>
      <c r="F837" s="94">
        <v>1.9201009250000001</v>
      </c>
      <c r="G837" s="95">
        <v>20.98</v>
      </c>
      <c r="H837" s="147">
        <f t="shared" si="83"/>
        <v>40.283717406500003</v>
      </c>
    </row>
    <row r="838" spans="2:8" ht="25.5">
      <c r="B838" s="145" t="s">
        <v>1286</v>
      </c>
      <c r="C838" s="98" t="s">
        <v>1287</v>
      </c>
      <c r="D838" s="99" t="s">
        <v>12</v>
      </c>
      <c r="E838" s="99" t="s">
        <v>1129</v>
      </c>
      <c r="F838" s="94">
        <v>1.918968692</v>
      </c>
      <c r="G838" s="95">
        <v>18.649999999999999</v>
      </c>
      <c r="H838" s="147">
        <f t="shared" si="83"/>
        <v>35.788766105799994</v>
      </c>
    </row>
    <row r="839" spans="2:8">
      <c r="B839" s="630" t="s">
        <v>1232</v>
      </c>
      <c r="C839" s="631"/>
      <c r="D839" s="631"/>
      <c r="E839" s="631"/>
      <c r="F839" s="631"/>
      <c r="G839" s="632"/>
      <c r="H839" s="148">
        <f>SUM(H832:H838)</f>
        <v>593.2413415123001</v>
      </c>
    </row>
    <row r="840" spans="2:8">
      <c r="B840" s="621"/>
      <c r="C840" s="622"/>
      <c r="D840" s="622"/>
      <c r="E840" s="622"/>
      <c r="F840" s="622"/>
      <c r="G840" s="622"/>
      <c r="H840" s="623"/>
    </row>
    <row r="841" spans="2:8" ht="51">
      <c r="B841" s="139" t="s">
        <v>2043</v>
      </c>
      <c r="C841" s="140" t="s">
        <v>1854</v>
      </c>
      <c r="D841" s="141" t="s">
        <v>12</v>
      </c>
      <c r="E841" s="141" t="s">
        <v>15</v>
      </c>
      <c r="F841" s="142"/>
      <c r="G841" s="143"/>
      <c r="H841" s="144"/>
    </row>
    <row r="842" spans="2:8" ht="51">
      <c r="B842" s="145">
        <v>11795</v>
      </c>
      <c r="C842" s="98" t="s">
        <v>1404</v>
      </c>
      <c r="D842" s="99" t="s">
        <v>401</v>
      </c>
      <c r="E842" s="99" t="s">
        <v>24</v>
      </c>
      <c r="F842" s="94" t="s">
        <v>1381</v>
      </c>
      <c r="G842" s="95">
        <v>573.58000000000004</v>
      </c>
      <c r="H842" s="147">
        <f>F842*G842</f>
        <v>430.18500000000006</v>
      </c>
    </row>
    <row r="843" spans="2:8">
      <c r="B843" s="145">
        <v>37329</v>
      </c>
      <c r="C843" s="98" t="s">
        <v>1572</v>
      </c>
      <c r="D843" s="99" t="s">
        <v>401</v>
      </c>
      <c r="E843" s="99" t="s">
        <v>112</v>
      </c>
      <c r="F843" s="94" t="s">
        <v>1341</v>
      </c>
      <c r="G843" s="95">
        <v>66.78</v>
      </c>
      <c r="H843" s="147">
        <f t="shared" ref="H843:H847" si="84">F843*G843</f>
        <v>2.0034000000000001</v>
      </c>
    </row>
    <row r="844" spans="2:8" ht="38.25">
      <c r="B844" s="145">
        <v>37591</v>
      </c>
      <c r="C844" s="98" t="s">
        <v>1577</v>
      </c>
      <c r="D844" s="99" t="s">
        <v>401</v>
      </c>
      <c r="E844" s="99" t="s">
        <v>37</v>
      </c>
      <c r="F844" s="94">
        <v>2</v>
      </c>
      <c r="G844" s="95">
        <v>24.62</v>
      </c>
      <c r="H844" s="147">
        <f t="shared" si="84"/>
        <v>49.24</v>
      </c>
    </row>
    <row r="845" spans="2:8" ht="25.5">
      <c r="B845" s="145">
        <v>4823</v>
      </c>
      <c r="C845" s="98" t="s">
        <v>1575</v>
      </c>
      <c r="D845" s="99" t="s">
        <v>401</v>
      </c>
      <c r="E845" s="99" t="s">
        <v>112</v>
      </c>
      <c r="F845" s="94" t="s">
        <v>1421</v>
      </c>
      <c r="G845" s="95">
        <v>40.229999999999997</v>
      </c>
      <c r="H845" s="147">
        <f t="shared" si="84"/>
        <v>16.091999999999999</v>
      </c>
    </row>
    <row r="846" spans="2:8" ht="25.5">
      <c r="B846" s="145" t="s">
        <v>1407</v>
      </c>
      <c r="C846" s="98" t="s">
        <v>1408</v>
      </c>
      <c r="D846" s="99" t="s">
        <v>12</v>
      </c>
      <c r="E846" s="99" t="s">
        <v>1129</v>
      </c>
      <c r="F846" s="94">
        <v>1.5004205209999999</v>
      </c>
      <c r="G846" s="95">
        <v>20.98</v>
      </c>
      <c r="H846" s="147">
        <f t="shared" si="84"/>
        <v>31.478822530579997</v>
      </c>
    </row>
    <row r="847" spans="2:8" ht="25.5">
      <c r="B847" s="145" t="s">
        <v>1286</v>
      </c>
      <c r="C847" s="98" t="s">
        <v>1287</v>
      </c>
      <c r="D847" s="99" t="s">
        <v>12</v>
      </c>
      <c r="E847" s="99" t="s">
        <v>1129</v>
      </c>
      <c r="F847" s="94">
        <v>1.49907919</v>
      </c>
      <c r="G847" s="95">
        <v>18.649999999999999</v>
      </c>
      <c r="H847" s="147">
        <f t="shared" si="84"/>
        <v>27.957826893499998</v>
      </c>
    </row>
    <row r="848" spans="2:8">
      <c r="B848" s="630" t="s">
        <v>1232</v>
      </c>
      <c r="C848" s="631"/>
      <c r="D848" s="631"/>
      <c r="E848" s="631"/>
      <c r="F848" s="631"/>
      <c r="G848" s="632"/>
      <c r="H848" s="148">
        <f>SUM(H842:H847)</f>
        <v>556.95704942407997</v>
      </c>
    </row>
    <row r="849" spans="2:11">
      <c r="B849" s="135"/>
      <c r="C849" s="136"/>
      <c r="D849" s="136"/>
      <c r="E849" s="136"/>
      <c r="F849" s="136"/>
      <c r="G849" s="136"/>
      <c r="H849" s="101"/>
    </row>
    <row r="850" spans="2:11" ht="38.25">
      <c r="B850" s="92" t="s">
        <v>2044</v>
      </c>
      <c r="C850" s="138" t="s">
        <v>1849</v>
      </c>
      <c r="D850" s="93" t="s">
        <v>12</v>
      </c>
      <c r="E850" s="93" t="s">
        <v>37</v>
      </c>
      <c r="F850" s="94"/>
      <c r="G850" s="95"/>
      <c r="H850" s="96"/>
    </row>
    <row r="851" spans="2:11" ht="57" customHeight="1">
      <c r="B851" s="97" t="s">
        <v>1855</v>
      </c>
      <c r="C851" s="98" t="s">
        <v>1856</v>
      </c>
      <c r="D851" s="99" t="s">
        <v>401</v>
      </c>
      <c r="E851" s="99" t="s">
        <v>24</v>
      </c>
      <c r="F851" s="94">
        <v>1.26</v>
      </c>
      <c r="G851" s="95">
        <f>1090*1.2217</f>
        <v>1331.653</v>
      </c>
      <c r="H851" s="96">
        <f>F851*G851</f>
        <v>1677.8827800000001</v>
      </c>
    </row>
    <row r="852" spans="2:11" ht="29.25" customHeight="1">
      <c r="B852" s="107">
        <v>15030002</v>
      </c>
      <c r="C852" s="98" t="s">
        <v>1857</v>
      </c>
      <c r="D852" s="99" t="s">
        <v>401</v>
      </c>
      <c r="E852" s="99" t="s">
        <v>37</v>
      </c>
      <c r="F852" s="94">
        <v>1</v>
      </c>
      <c r="G852" s="95">
        <f>283.47*1.2217</f>
        <v>346.31529900000004</v>
      </c>
      <c r="H852" s="96">
        <f>F852*G852</f>
        <v>346.31529900000004</v>
      </c>
    </row>
    <row r="853" spans="2:11" ht="25.5">
      <c r="B853" s="97" t="s">
        <v>1288</v>
      </c>
      <c r="C853" s="98" t="s">
        <v>1858</v>
      </c>
      <c r="D853" s="99" t="s">
        <v>401</v>
      </c>
      <c r="E853" s="99" t="s">
        <v>112</v>
      </c>
      <c r="F853" s="94" t="s">
        <v>1341</v>
      </c>
      <c r="G853" s="95">
        <v>398.61</v>
      </c>
      <c r="H853" s="96">
        <f>F853*G853</f>
        <v>11.958299999999999</v>
      </c>
    </row>
    <row r="854" spans="2:11" ht="38.25">
      <c r="B854" s="97">
        <v>37591</v>
      </c>
      <c r="C854" s="98" t="s">
        <v>1577</v>
      </c>
      <c r="D854" s="99" t="s">
        <v>401</v>
      </c>
      <c r="E854" s="99" t="s">
        <v>37</v>
      </c>
      <c r="F854" s="94">
        <v>2</v>
      </c>
      <c r="G854" s="95">
        <v>24.62</v>
      </c>
      <c r="H854" s="96">
        <f>F854*G854</f>
        <v>49.24</v>
      </c>
    </row>
    <row r="855" spans="2:11" ht="25.5">
      <c r="B855" s="97" t="s">
        <v>1393</v>
      </c>
      <c r="C855" s="98" t="s">
        <v>1859</v>
      </c>
      <c r="D855" s="99" t="s">
        <v>12</v>
      </c>
      <c r="E855" s="99" t="s">
        <v>15</v>
      </c>
      <c r="F855" s="94">
        <v>1.85</v>
      </c>
      <c r="G855" s="95">
        <v>58.66</v>
      </c>
      <c r="H855" s="96">
        <f>F855*G855</f>
        <v>108.521</v>
      </c>
    </row>
    <row r="856" spans="2:11" ht="25.5">
      <c r="B856" s="97" t="s">
        <v>1407</v>
      </c>
      <c r="C856" s="98" t="s">
        <v>1408</v>
      </c>
      <c r="D856" s="99" t="s">
        <v>12</v>
      </c>
      <c r="E856" s="99" t="s">
        <v>1129</v>
      </c>
      <c r="F856" s="94">
        <v>1.9</v>
      </c>
      <c r="G856" s="95">
        <v>20.98</v>
      </c>
      <c r="H856" s="96">
        <f t="shared" ref="H856:H857" si="85">F856*G856</f>
        <v>39.862000000000002</v>
      </c>
    </row>
    <row r="857" spans="2:11" ht="25.5">
      <c r="B857" s="97" t="s">
        <v>1286</v>
      </c>
      <c r="C857" s="98" t="s">
        <v>1287</v>
      </c>
      <c r="D857" s="99" t="s">
        <v>12</v>
      </c>
      <c r="E857" s="99" t="s">
        <v>1129</v>
      </c>
      <c r="F857" s="94">
        <v>1.9</v>
      </c>
      <c r="G857" s="95">
        <v>18.649999999999999</v>
      </c>
      <c r="H857" s="96">
        <f t="shared" si="85"/>
        <v>35.434999999999995</v>
      </c>
      <c r="K857" s="438"/>
    </row>
    <row r="858" spans="2:11">
      <c r="B858" s="621" t="s">
        <v>1232</v>
      </c>
      <c r="C858" s="622"/>
      <c r="D858" s="622"/>
      <c r="E858" s="622"/>
      <c r="F858" s="622"/>
      <c r="G858" s="623"/>
      <c r="H858" s="192">
        <f>SUM(H851:H857)</f>
        <v>2269.2143790000005</v>
      </c>
      <c r="K858" s="438"/>
    </row>
    <row r="859" spans="2:11" ht="38.25">
      <c r="B859" s="139" t="s">
        <v>2045</v>
      </c>
      <c r="C859" s="140" t="s">
        <v>1850</v>
      </c>
      <c r="D859" s="141" t="s">
        <v>12</v>
      </c>
      <c r="E859" s="141" t="s">
        <v>37</v>
      </c>
      <c r="F859" s="142"/>
      <c r="G859" s="143"/>
      <c r="H859" s="144"/>
      <c r="K859" s="445"/>
    </row>
    <row r="860" spans="2:11" ht="51">
      <c r="B860" s="145" t="s">
        <v>1855</v>
      </c>
      <c r="C860" s="98" t="s">
        <v>1856</v>
      </c>
      <c r="D860" s="99" t="s">
        <v>401</v>
      </c>
      <c r="E860" s="99" t="s">
        <v>24</v>
      </c>
      <c r="F860" s="94">
        <v>1.65</v>
      </c>
      <c r="G860" s="95">
        <f>1090*1.2217</f>
        <v>1331.653</v>
      </c>
      <c r="H860" s="147">
        <f>F860*G860</f>
        <v>2197.2274499999999</v>
      </c>
      <c r="K860" s="438"/>
    </row>
    <row r="861" spans="2:11" ht="25.5">
      <c r="B861" s="193">
        <v>15030005</v>
      </c>
      <c r="C861" s="98" t="s">
        <v>1860</v>
      </c>
      <c r="D861" s="99" t="s">
        <v>401</v>
      </c>
      <c r="E861" s="99" t="s">
        <v>37</v>
      </c>
      <c r="F861" s="94">
        <v>1</v>
      </c>
      <c r="G861" s="95">
        <f>478.46*1.2217</f>
        <v>584.534582</v>
      </c>
      <c r="H861" s="147">
        <f>F861*G861</f>
        <v>584.534582</v>
      </c>
    </row>
    <row r="862" spans="2:11" ht="25.5">
      <c r="B862" s="145" t="s">
        <v>1288</v>
      </c>
      <c r="C862" s="98" t="s">
        <v>1858</v>
      </c>
      <c r="D862" s="99" t="s">
        <v>401</v>
      </c>
      <c r="E862" s="99" t="s">
        <v>112</v>
      </c>
      <c r="F862" s="94">
        <v>4.2000000000000003E-2</v>
      </c>
      <c r="G862" s="95">
        <v>398.61</v>
      </c>
      <c r="H862" s="147">
        <f>F862*G862</f>
        <v>16.741620000000001</v>
      </c>
    </row>
    <row r="863" spans="2:11" ht="38.25">
      <c r="B863" s="145">
        <v>37591</v>
      </c>
      <c r="C863" s="98" t="s">
        <v>1577</v>
      </c>
      <c r="D863" s="99" t="s">
        <v>401</v>
      </c>
      <c r="E863" s="99" t="s">
        <v>37</v>
      </c>
      <c r="F863" s="94">
        <v>4</v>
      </c>
      <c r="G863" s="95">
        <v>24.62</v>
      </c>
      <c r="H863" s="147">
        <f>F863*G863</f>
        <v>98.48</v>
      </c>
    </row>
    <row r="864" spans="2:11" ht="25.5">
      <c r="B864" s="145" t="s">
        <v>1393</v>
      </c>
      <c r="C864" s="98" t="s">
        <v>1859</v>
      </c>
      <c r="D864" s="99" t="s">
        <v>12</v>
      </c>
      <c r="E864" s="99" t="s">
        <v>15</v>
      </c>
      <c r="F864" s="94">
        <v>2.6</v>
      </c>
      <c r="G864" s="95">
        <v>58.66</v>
      </c>
      <c r="H864" s="147">
        <f>F864*G864</f>
        <v>152.51599999999999</v>
      </c>
    </row>
    <row r="865" spans="2:8" ht="25.5">
      <c r="B865" s="145" t="s">
        <v>1407</v>
      </c>
      <c r="C865" s="98" t="s">
        <v>1408</v>
      </c>
      <c r="D865" s="99" t="s">
        <v>12</v>
      </c>
      <c r="E865" s="99" t="s">
        <v>1129</v>
      </c>
      <c r="F865" s="94">
        <v>2.4</v>
      </c>
      <c r="G865" s="95">
        <v>20.98</v>
      </c>
      <c r="H865" s="147">
        <f t="shared" ref="H865:H866" si="86">F865*G865</f>
        <v>50.351999999999997</v>
      </c>
    </row>
    <row r="866" spans="2:8" ht="25.5">
      <c r="B866" s="145" t="s">
        <v>1286</v>
      </c>
      <c r="C866" s="98" t="s">
        <v>1287</v>
      </c>
      <c r="D866" s="99" t="s">
        <v>12</v>
      </c>
      <c r="E866" s="99" t="s">
        <v>1129</v>
      </c>
      <c r="F866" s="94">
        <v>2.4</v>
      </c>
      <c r="G866" s="95">
        <v>18.649999999999999</v>
      </c>
      <c r="H866" s="147">
        <f t="shared" si="86"/>
        <v>44.76</v>
      </c>
    </row>
    <row r="867" spans="2:8">
      <c r="B867" s="630" t="s">
        <v>1232</v>
      </c>
      <c r="C867" s="631"/>
      <c r="D867" s="631"/>
      <c r="E867" s="631"/>
      <c r="F867" s="631"/>
      <c r="G867" s="632"/>
      <c r="H867" s="148">
        <f>SUM(H860:H866)</f>
        <v>3144.6116519999996</v>
      </c>
    </row>
    <row r="868" spans="2:8">
      <c r="B868" s="135"/>
      <c r="C868" s="136"/>
      <c r="D868" s="136"/>
      <c r="E868" s="136"/>
      <c r="F868" s="136"/>
      <c r="G868" s="136"/>
      <c r="H868" s="101"/>
    </row>
    <row r="869" spans="2:8" ht="38.25">
      <c r="B869" s="92" t="s">
        <v>2046</v>
      </c>
      <c r="C869" s="138" t="s">
        <v>1851</v>
      </c>
      <c r="D869" s="93" t="s">
        <v>12</v>
      </c>
      <c r="E869" s="93" t="s">
        <v>37</v>
      </c>
      <c r="F869" s="94"/>
      <c r="G869" s="95"/>
      <c r="H869" s="96"/>
    </row>
    <row r="870" spans="2:8" ht="51">
      <c r="B870" s="97" t="s">
        <v>1855</v>
      </c>
      <c r="C870" s="98" t="s">
        <v>1856</v>
      </c>
      <c r="D870" s="99" t="s">
        <v>401</v>
      </c>
      <c r="E870" s="99" t="s">
        <v>24</v>
      </c>
      <c r="F870" s="94">
        <v>1.62</v>
      </c>
      <c r="G870" s="95">
        <f>1090*1.2217</f>
        <v>1331.653</v>
      </c>
      <c r="H870" s="96">
        <f>F870*G870</f>
        <v>2157.2778600000001</v>
      </c>
    </row>
    <row r="871" spans="2:8" ht="25.5">
      <c r="B871" s="107">
        <v>15030002</v>
      </c>
      <c r="C871" s="98" t="s">
        <v>1857</v>
      </c>
      <c r="D871" s="99" t="s">
        <v>401</v>
      </c>
      <c r="E871" s="99" t="s">
        <v>37</v>
      </c>
      <c r="F871" s="94">
        <v>1</v>
      </c>
      <c r="G871" s="95">
        <f>283.47*1.2217</f>
        <v>346.31529900000004</v>
      </c>
      <c r="H871" s="96">
        <f>F871*G871</f>
        <v>346.31529900000004</v>
      </c>
    </row>
    <row r="872" spans="2:8" ht="25.5">
      <c r="B872" s="97" t="s">
        <v>1288</v>
      </c>
      <c r="C872" s="98" t="s">
        <v>1858</v>
      </c>
      <c r="D872" s="99" t="s">
        <v>401</v>
      </c>
      <c r="E872" s="99" t="s">
        <v>112</v>
      </c>
      <c r="F872" s="94">
        <v>0.04</v>
      </c>
      <c r="G872" s="95">
        <v>398.61</v>
      </c>
      <c r="H872" s="96">
        <f>F872*G872</f>
        <v>15.944400000000002</v>
      </c>
    </row>
    <row r="873" spans="2:8" ht="38.25">
      <c r="B873" s="97">
        <v>37591</v>
      </c>
      <c r="C873" s="98" t="s">
        <v>1577</v>
      </c>
      <c r="D873" s="99" t="s">
        <v>401</v>
      </c>
      <c r="E873" s="99" t="s">
        <v>37</v>
      </c>
      <c r="F873" s="94">
        <v>4</v>
      </c>
      <c r="G873" s="95">
        <v>24.62</v>
      </c>
      <c r="H873" s="96">
        <f>F873*G873</f>
        <v>98.48</v>
      </c>
    </row>
    <row r="874" spans="2:8" ht="25.5">
      <c r="B874" s="97" t="s">
        <v>1393</v>
      </c>
      <c r="C874" s="98" t="s">
        <v>1859</v>
      </c>
      <c r="D874" s="99" t="s">
        <v>12</v>
      </c>
      <c r="E874" s="99" t="s">
        <v>15</v>
      </c>
      <c r="F874" s="94">
        <v>1.85</v>
      </c>
      <c r="G874" s="95">
        <v>58.66</v>
      </c>
      <c r="H874" s="96">
        <f>F874*G874</f>
        <v>108.521</v>
      </c>
    </row>
    <row r="875" spans="2:8" ht="25.5">
      <c r="B875" s="97" t="s">
        <v>1407</v>
      </c>
      <c r="C875" s="98" t="s">
        <v>1408</v>
      </c>
      <c r="D875" s="99" t="s">
        <v>12</v>
      </c>
      <c r="E875" s="99" t="s">
        <v>1129</v>
      </c>
      <c r="F875" s="94">
        <v>1.9</v>
      </c>
      <c r="G875" s="95">
        <v>20.98</v>
      </c>
      <c r="H875" s="96">
        <f t="shared" ref="H875:H876" si="87">F875*G875</f>
        <v>39.862000000000002</v>
      </c>
    </row>
    <row r="876" spans="2:8" ht="25.5">
      <c r="B876" s="97" t="s">
        <v>1286</v>
      </c>
      <c r="C876" s="98" t="s">
        <v>1287</v>
      </c>
      <c r="D876" s="99" t="s">
        <v>12</v>
      </c>
      <c r="E876" s="99" t="s">
        <v>1129</v>
      </c>
      <c r="F876" s="94">
        <v>1.9</v>
      </c>
      <c r="G876" s="95">
        <v>18.649999999999999</v>
      </c>
      <c r="H876" s="96">
        <f t="shared" si="87"/>
        <v>35.434999999999995</v>
      </c>
    </row>
    <row r="877" spans="2:8">
      <c r="B877" s="636" t="s">
        <v>1232</v>
      </c>
      <c r="C877" s="637"/>
      <c r="D877" s="637"/>
      <c r="E877" s="637"/>
      <c r="F877" s="637"/>
      <c r="G877" s="638"/>
      <c r="H877" s="100">
        <f>SUM(H870:H876)</f>
        <v>2801.8355590000001</v>
      </c>
    </row>
    <row r="878" spans="2:8">
      <c r="B878" s="167"/>
      <c r="C878" s="168"/>
      <c r="D878" s="168"/>
      <c r="E878" s="168"/>
      <c r="F878" s="168"/>
      <c r="G878" s="168"/>
      <c r="H878" s="169"/>
    </row>
    <row r="879" spans="2:8" ht="51">
      <c r="B879" s="139" t="s">
        <v>2047</v>
      </c>
      <c r="C879" s="140" t="s">
        <v>1852</v>
      </c>
      <c r="D879" s="141" t="s">
        <v>12</v>
      </c>
      <c r="E879" s="141" t="s">
        <v>37</v>
      </c>
      <c r="F879" s="142"/>
      <c r="G879" s="143"/>
      <c r="H879" s="144"/>
    </row>
    <row r="880" spans="2:8" ht="51">
      <c r="B880" s="145" t="s">
        <v>1855</v>
      </c>
      <c r="C880" s="98" t="s">
        <v>1856</v>
      </c>
      <c r="D880" s="99" t="s">
        <v>401</v>
      </c>
      <c r="E880" s="99" t="s">
        <v>24</v>
      </c>
      <c r="F880" s="94">
        <v>1.95</v>
      </c>
      <c r="G880" s="95">
        <f>1090*1.2217</f>
        <v>1331.653</v>
      </c>
      <c r="H880" s="147">
        <f>F880*G880</f>
        <v>2596.7233499999998</v>
      </c>
    </row>
    <row r="881" spans="2:8" ht="25.5">
      <c r="B881" s="193">
        <v>15030008</v>
      </c>
      <c r="C881" s="98" t="s">
        <v>1861</v>
      </c>
      <c r="D881" s="99" t="s">
        <v>401</v>
      </c>
      <c r="E881" s="99" t="s">
        <v>37</v>
      </c>
      <c r="F881" s="94">
        <v>5</v>
      </c>
      <c r="G881" s="95">
        <f>465.56*1.2217</f>
        <v>568.77465200000006</v>
      </c>
      <c r="H881" s="147">
        <f>F881*G881</f>
        <v>2843.8732600000003</v>
      </c>
    </row>
    <row r="882" spans="2:8" ht="25.5">
      <c r="B882" s="145" t="s">
        <v>1288</v>
      </c>
      <c r="C882" s="98" t="s">
        <v>1858</v>
      </c>
      <c r="D882" s="99" t="s">
        <v>401</v>
      </c>
      <c r="E882" s="99" t="s">
        <v>112</v>
      </c>
      <c r="F882" s="94">
        <v>2.5999999999999999E-2</v>
      </c>
      <c r="G882" s="95">
        <v>398.61</v>
      </c>
      <c r="H882" s="147">
        <f>F882*G882</f>
        <v>10.363860000000001</v>
      </c>
    </row>
    <row r="883" spans="2:8" ht="38.25">
      <c r="B883" s="145">
        <v>37591</v>
      </c>
      <c r="C883" s="98" t="s">
        <v>1577</v>
      </c>
      <c r="D883" s="99" t="s">
        <v>401</v>
      </c>
      <c r="E883" s="99" t="s">
        <v>37</v>
      </c>
      <c r="F883" s="94">
        <v>6</v>
      </c>
      <c r="G883" s="95">
        <v>24.62</v>
      </c>
      <c r="H883" s="147">
        <f>F883*G883</f>
        <v>147.72</v>
      </c>
    </row>
    <row r="884" spans="2:8" ht="25.5">
      <c r="B884" s="145" t="s">
        <v>1393</v>
      </c>
      <c r="C884" s="98" t="s">
        <v>1859</v>
      </c>
      <c r="D884" s="99" t="s">
        <v>12</v>
      </c>
      <c r="E884" s="99" t="s">
        <v>15</v>
      </c>
      <c r="F884" s="94">
        <v>9.25</v>
      </c>
      <c r="G884" s="95">
        <v>58.66</v>
      </c>
      <c r="H884" s="147">
        <f>F884*G884</f>
        <v>542.60500000000002</v>
      </c>
    </row>
    <row r="885" spans="2:8" ht="25.5">
      <c r="B885" s="145" t="s">
        <v>1407</v>
      </c>
      <c r="C885" s="98" t="s">
        <v>1408</v>
      </c>
      <c r="D885" s="99" t="s">
        <v>12</v>
      </c>
      <c r="E885" s="99" t="s">
        <v>1129</v>
      </c>
      <c r="F885" s="94">
        <v>6.5</v>
      </c>
      <c r="G885" s="95">
        <v>20.98</v>
      </c>
      <c r="H885" s="147">
        <f t="shared" ref="H885:H886" si="88">F885*G885</f>
        <v>136.37</v>
      </c>
    </row>
    <row r="886" spans="2:8" ht="25.5">
      <c r="B886" s="145" t="s">
        <v>1286</v>
      </c>
      <c r="C886" s="98" t="s">
        <v>1287</v>
      </c>
      <c r="D886" s="99" t="s">
        <v>12</v>
      </c>
      <c r="E886" s="99" t="s">
        <v>1129</v>
      </c>
      <c r="F886" s="94">
        <v>6.5</v>
      </c>
      <c r="G886" s="95">
        <v>18.649999999999999</v>
      </c>
      <c r="H886" s="147">
        <f t="shared" si="88"/>
        <v>121.22499999999999</v>
      </c>
    </row>
    <row r="887" spans="2:8">
      <c r="B887" s="630" t="s">
        <v>1232</v>
      </c>
      <c r="C887" s="631"/>
      <c r="D887" s="631"/>
      <c r="E887" s="631"/>
      <c r="F887" s="631"/>
      <c r="G887" s="632"/>
      <c r="H887" s="148">
        <f>SUM(H880:H886)</f>
        <v>6398.880470000001</v>
      </c>
    </row>
    <row r="888" spans="2:8">
      <c r="B888" s="672"/>
      <c r="C888" s="673"/>
      <c r="D888" s="673"/>
      <c r="E888" s="673"/>
      <c r="F888" s="673"/>
      <c r="G888" s="673"/>
      <c r="H888" s="673"/>
    </row>
    <row r="889" spans="2:8" ht="38.25">
      <c r="B889" s="139" t="s">
        <v>2048</v>
      </c>
      <c r="C889" s="140" t="s">
        <v>1853</v>
      </c>
      <c r="D889" s="141" t="s">
        <v>12</v>
      </c>
      <c r="E889" s="141" t="s">
        <v>37</v>
      </c>
      <c r="F889" s="142"/>
      <c r="G889" s="143"/>
      <c r="H889" s="144"/>
    </row>
    <row r="890" spans="2:8" ht="51">
      <c r="B890" s="145" t="s">
        <v>1855</v>
      </c>
      <c r="C890" s="98" t="s">
        <v>1856</v>
      </c>
      <c r="D890" s="99" t="s">
        <v>401</v>
      </c>
      <c r="E890" s="99" t="s">
        <v>24</v>
      </c>
      <c r="F890" s="94">
        <v>3.3</v>
      </c>
      <c r="G890" s="95">
        <f>1090*1.2217</f>
        <v>1331.653</v>
      </c>
      <c r="H890" s="147">
        <f>F890*G890</f>
        <v>4394.4548999999997</v>
      </c>
    </row>
    <row r="891" spans="2:8" ht="25.5">
      <c r="B891" s="193">
        <v>15030002</v>
      </c>
      <c r="C891" s="98" t="s">
        <v>1857</v>
      </c>
      <c r="D891" s="99" t="s">
        <v>401</v>
      </c>
      <c r="E891" s="99" t="s">
        <v>37</v>
      </c>
      <c r="F891" s="94">
        <v>2</v>
      </c>
      <c r="G891" s="95">
        <f>283.47*1.2217</f>
        <v>346.31529900000004</v>
      </c>
      <c r="H891" s="147">
        <f>F891*G891</f>
        <v>692.63059800000008</v>
      </c>
    </row>
    <row r="892" spans="2:8" ht="25.5">
      <c r="B892" s="145" t="s">
        <v>1288</v>
      </c>
      <c r="C892" s="98" t="s">
        <v>1858</v>
      </c>
      <c r="D892" s="99" t="s">
        <v>401</v>
      </c>
      <c r="E892" s="99" t="s">
        <v>112</v>
      </c>
      <c r="F892" s="94">
        <v>8.2000000000000003E-2</v>
      </c>
      <c r="G892" s="95">
        <v>398.61</v>
      </c>
      <c r="H892" s="147">
        <f>F892*G892</f>
        <v>32.686019999999999</v>
      </c>
    </row>
    <row r="893" spans="2:8" ht="38.25">
      <c r="B893" s="145">
        <v>37591</v>
      </c>
      <c r="C893" s="98" t="s">
        <v>1577</v>
      </c>
      <c r="D893" s="99" t="s">
        <v>401</v>
      </c>
      <c r="E893" s="99" t="s">
        <v>37</v>
      </c>
      <c r="F893" s="94">
        <v>4</v>
      </c>
      <c r="G893" s="95">
        <v>24.62</v>
      </c>
      <c r="H893" s="147">
        <f>F893*G893</f>
        <v>98.48</v>
      </c>
    </row>
    <row r="894" spans="2:8" ht="25.5">
      <c r="B894" s="145" t="s">
        <v>1393</v>
      </c>
      <c r="C894" s="98" t="s">
        <v>1859</v>
      </c>
      <c r="D894" s="99" t="s">
        <v>12</v>
      </c>
      <c r="E894" s="99" t="s">
        <v>15</v>
      </c>
      <c r="F894" s="94">
        <v>3.7</v>
      </c>
      <c r="G894" s="95">
        <v>58.66</v>
      </c>
      <c r="H894" s="147">
        <f>F894*G894</f>
        <v>217.042</v>
      </c>
    </row>
    <row r="895" spans="2:8" ht="25.5">
      <c r="B895" s="145" t="s">
        <v>1407</v>
      </c>
      <c r="C895" s="98" t="s">
        <v>1408</v>
      </c>
      <c r="D895" s="99" t="s">
        <v>12</v>
      </c>
      <c r="E895" s="99" t="s">
        <v>1129</v>
      </c>
      <c r="F895" s="94">
        <v>3.8</v>
      </c>
      <c r="G895" s="95">
        <v>20.98</v>
      </c>
      <c r="H895" s="147">
        <f t="shared" ref="H895:H896" si="89">F895*G895</f>
        <v>79.724000000000004</v>
      </c>
    </row>
    <row r="896" spans="2:8" ht="25.5">
      <c r="B896" s="145" t="s">
        <v>1286</v>
      </c>
      <c r="C896" s="98" t="s">
        <v>1287</v>
      </c>
      <c r="D896" s="99" t="s">
        <v>12</v>
      </c>
      <c r="E896" s="99" t="s">
        <v>1129</v>
      </c>
      <c r="F896" s="94">
        <v>3.8</v>
      </c>
      <c r="G896" s="95">
        <v>18.649999999999999</v>
      </c>
      <c r="H896" s="147">
        <f t="shared" si="89"/>
        <v>70.86999999999999</v>
      </c>
    </row>
    <row r="897" spans="2:8">
      <c r="B897" s="630" t="s">
        <v>1232</v>
      </c>
      <c r="C897" s="631"/>
      <c r="D897" s="631"/>
      <c r="E897" s="631"/>
      <c r="F897" s="631"/>
      <c r="G897" s="632"/>
      <c r="H897" s="148">
        <f>SUM(H890:H896)</f>
        <v>5585.8875179999995</v>
      </c>
    </row>
    <row r="898" spans="2:8">
      <c r="B898" s="651"/>
      <c r="C898" s="652"/>
      <c r="D898" s="652"/>
      <c r="E898" s="652"/>
      <c r="F898" s="652"/>
      <c r="G898" s="652"/>
      <c r="H898" s="652"/>
    </row>
    <row r="899" spans="2:8" ht="51">
      <c r="B899" s="139" t="s">
        <v>2049</v>
      </c>
      <c r="C899" s="140" t="s">
        <v>541</v>
      </c>
      <c r="D899" s="141" t="s">
        <v>12</v>
      </c>
      <c r="E899" s="141" t="s">
        <v>75</v>
      </c>
      <c r="F899" s="142"/>
      <c r="G899" s="143"/>
      <c r="H899" s="144"/>
    </row>
    <row r="900" spans="2:8" ht="38.25">
      <c r="B900" s="145" t="s">
        <v>1298</v>
      </c>
      <c r="C900" s="98" t="s">
        <v>1299</v>
      </c>
      <c r="D900" s="99" t="s">
        <v>12</v>
      </c>
      <c r="E900" s="99" t="s">
        <v>1292</v>
      </c>
      <c r="F900" s="94" t="s">
        <v>1578</v>
      </c>
      <c r="G900" s="95">
        <v>219.83</v>
      </c>
      <c r="H900" s="147">
        <f>F900*G900</f>
        <v>1.7454501999999998</v>
      </c>
    </row>
    <row r="901" spans="2:8" ht="25.5">
      <c r="B901" s="145" t="s">
        <v>1286</v>
      </c>
      <c r="C901" s="98" t="s">
        <v>1287</v>
      </c>
      <c r="D901" s="99" t="s">
        <v>12</v>
      </c>
      <c r="E901" s="99" t="s">
        <v>1129</v>
      </c>
      <c r="F901" s="94" t="s">
        <v>1579</v>
      </c>
      <c r="G901" s="95">
        <v>18.649999999999999</v>
      </c>
      <c r="H901" s="147">
        <f>F901*G901</f>
        <v>0.12868499999999999</v>
      </c>
    </row>
    <row r="902" spans="2:8">
      <c r="B902" s="630" t="s">
        <v>1232</v>
      </c>
      <c r="C902" s="631"/>
      <c r="D902" s="631"/>
      <c r="E902" s="631"/>
      <c r="F902" s="631"/>
      <c r="G902" s="632"/>
      <c r="H902" s="148">
        <f>SUM(H900:H901)</f>
        <v>1.8741351999999998</v>
      </c>
    </row>
    <row r="903" spans="2:8">
      <c r="B903" s="627"/>
      <c r="C903" s="628"/>
      <c r="D903" s="628"/>
      <c r="E903" s="628"/>
      <c r="F903" s="628"/>
      <c r="G903" s="628"/>
      <c r="H903" s="629"/>
    </row>
    <row r="904" spans="2:8" ht="51">
      <c r="B904" s="139" t="s">
        <v>2050</v>
      </c>
      <c r="C904" s="140" t="s">
        <v>1864</v>
      </c>
      <c r="D904" s="141" t="s">
        <v>12</v>
      </c>
      <c r="E904" s="141" t="s">
        <v>37</v>
      </c>
      <c r="F904" s="142"/>
      <c r="G904" s="143"/>
      <c r="H904" s="144"/>
    </row>
    <row r="905" spans="2:8">
      <c r="B905" s="145">
        <v>36178</v>
      </c>
      <c r="C905" s="98" t="s">
        <v>1865</v>
      </c>
      <c r="D905" s="99" t="s">
        <v>401</v>
      </c>
      <c r="E905" s="99" t="s">
        <v>24</v>
      </c>
      <c r="F905" s="94">
        <v>0.3125</v>
      </c>
      <c r="G905" s="95">
        <v>13.15</v>
      </c>
      <c r="H905" s="147">
        <f>F905*G905</f>
        <v>4.109375</v>
      </c>
    </row>
    <row r="906" spans="2:8" ht="38.25">
      <c r="B906" s="145">
        <v>370</v>
      </c>
      <c r="C906" s="98" t="s">
        <v>1560</v>
      </c>
      <c r="D906" s="99" t="s">
        <v>401</v>
      </c>
      <c r="E906" s="99" t="s">
        <v>75</v>
      </c>
      <c r="F906" s="94">
        <v>0.34906999999999999</v>
      </c>
      <c r="G906" s="95">
        <v>141</v>
      </c>
      <c r="H906" s="147">
        <f t="shared" ref="H906:H917" si="90">F906*G906</f>
        <v>49.218869999999995</v>
      </c>
    </row>
    <row r="907" spans="2:8">
      <c r="B907" s="145">
        <v>4721</v>
      </c>
      <c r="C907" s="98" t="s">
        <v>2051</v>
      </c>
      <c r="D907" s="99" t="s">
        <v>401</v>
      </c>
      <c r="E907" s="99" t="s">
        <v>75</v>
      </c>
      <c r="F907" s="94">
        <v>0.38500000000000001</v>
      </c>
      <c r="G907" s="95">
        <v>134.31</v>
      </c>
      <c r="H907" s="147">
        <f t="shared" si="90"/>
        <v>51.709350000000001</v>
      </c>
    </row>
    <row r="908" spans="2:8">
      <c r="B908" s="145">
        <v>1379</v>
      </c>
      <c r="C908" s="98" t="s">
        <v>2052</v>
      </c>
      <c r="D908" s="99" t="s">
        <v>401</v>
      </c>
      <c r="E908" s="99" t="s">
        <v>112</v>
      </c>
      <c r="F908" s="94">
        <v>134.59</v>
      </c>
      <c r="G908" s="95">
        <v>0.62</v>
      </c>
      <c r="H908" s="147">
        <f t="shared" si="90"/>
        <v>83.445800000000006</v>
      </c>
    </row>
    <row r="909" spans="2:8">
      <c r="B909" s="145">
        <v>39016</v>
      </c>
      <c r="C909" s="98" t="s">
        <v>1866</v>
      </c>
      <c r="D909" s="99" t="s">
        <v>401</v>
      </c>
      <c r="E909" s="99" t="s">
        <v>37</v>
      </c>
      <c r="F909" s="94">
        <v>10</v>
      </c>
      <c r="G909" s="95">
        <v>0.35</v>
      </c>
      <c r="H909" s="147">
        <f t="shared" si="90"/>
        <v>3.5</v>
      </c>
    </row>
    <row r="910" spans="2:8" ht="25.5">
      <c r="B910" s="145">
        <v>4062</v>
      </c>
      <c r="C910" s="98" t="s">
        <v>1867</v>
      </c>
      <c r="D910" s="99" t="s">
        <v>401</v>
      </c>
      <c r="E910" s="99" t="s">
        <v>37</v>
      </c>
      <c r="F910" s="94">
        <v>2.2000000000000002</v>
      </c>
      <c r="G910" s="95">
        <v>32.75</v>
      </c>
      <c r="H910" s="147">
        <f t="shared" si="90"/>
        <v>72.050000000000011</v>
      </c>
    </row>
    <row r="911" spans="2:8" ht="25.5">
      <c r="B911" s="145"/>
      <c r="C911" s="98" t="s">
        <v>1868</v>
      </c>
      <c r="D911" s="99" t="s">
        <v>12</v>
      </c>
      <c r="E911" s="99" t="s">
        <v>75</v>
      </c>
      <c r="F911" s="94">
        <v>2.1999999999999999E-2</v>
      </c>
      <c r="G911" s="95">
        <f>471.98*1.2217</f>
        <v>576.61796600000002</v>
      </c>
      <c r="H911" s="147">
        <f t="shared" si="90"/>
        <v>12.685595252000001</v>
      </c>
    </row>
    <row r="912" spans="2:8" ht="25.5">
      <c r="B912" s="145">
        <v>21141</v>
      </c>
      <c r="C912" s="98" t="s">
        <v>1869</v>
      </c>
      <c r="D912" s="99" t="s">
        <v>401</v>
      </c>
      <c r="E912" s="99" t="s">
        <v>112</v>
      </c>
      <c r="F912" s="94">
        <v>3.2559999999999998</v>
      </c>
      <c r="G912" s="95">
        <v>19.350000000000001</v>
      </c>
      <c r="H912" s="147">
        <f t="shared" si="90"/>
        <v>63.003599999999999</v>
      </c>
    </row>
    <row r="913" spans="2:8">
      <c r="B913" s="145">
        <v>43132</v>
      </c>
      <c r="C913" s="98" t="s">
        <v>2053</v>
      </c>
      <c r="D913" s="99" t="s">
        <v>401</v>
      </c>
      <c r="E913" s="99" t="s">
        <v>112</v>
      </c>
      <c r="F913" s="94">
        <v>7.4999999999999997E-2</v>
      </c>
      <c r="G913" s="95">
        <v>27.45</v>
      </c>
      <c r="H913" s="147">
        <f t="shared" si="90"/>
        <v>2.0587499999999999</v>
      </c>
    </row>
    <row r="914" spans="2:8">
      <c r="B914" s="145" t="s">
        <v>1333</v>
      </c>
      <c r="C914" s="98" t="s">
        <v>1870</v>
      </c>
      <c r="D914" s="99" t="s">
        <v>12</v>
      </c>
      <c r="E914" s="99" t="s">
        <v>1292</v>
      </c>
      <c r="F914" s="94">
        <v>2</v>
      </c>
      <c r="G914" s="95">
        <v>24.93</v>
      </c>
      <c r="H914" s="147">
        <f t="shared" si="90"/>
        <v>49.86</v>
      </c>
    </row>
    <row r="915" spans="2:8">
      <c r="B915" s="145">
        <v>88256</v>
      </c>
      <c r="C915" s="98" t="s">
        <v>1871</v>
      </c>
      <c r="D915" s="99" t="s">
        <v>12</v>
      </c>
      <c r="E915" s="99" t="s">
        <v>1292</v>
      </c>
      <c r="F915" s="94">
        <v>0.6</v>
      </c>
      <c r="G915" s="95">
        <v>24.98</v>
      </c>
      <c r="H915" s="147">
        <f t="shared" si="90"/>
        <v>14.988</v>
      </c>
    </row>
    <row r="916" spans="2:8">
      <c r="B916" s="145" t="s">
        <v>1338</v>
      </c>
      <c r="C916" s="98" t="s">
        <v>1872</v>
      </c>
      <c r="D916" s="99" t="s">
        <v>12</v>
      </c>
      <c r="E916" s="99" t="s">
        <v>1292</v>
      </c>
      <c r="F916" s="94">
        <v>12</v>
      </c>
      <c r="G916" s="95">
        <v>25.07</v>
      </c>
      <c r="H916" s="147">
        <f t="shared" si="90"/>
        <v>300.84000000000003</v>
      </c>
    </row>
    <row r="917" spans="2:8">
      <c r="B917" s="145" t="s">
        <v>1286</v>
      </c>
      <c r="C917" s="98" t="s">
        <v>2054</v>
      </c>
      <c r="D917" s="99" t="s">
        <v>12</v>
      </c>
      <c r="E917" s="99" t="s">
        <v>1129</v>
      </c>
      <c r="F917" s="94">
        <v>0.6</v>
      </c>
      <c r="G917" s="95">
        <v>18.649999999999999</v>
      </c>
      <c r="H917" s="147">
        <f t="shared" si="90"/>
        <v>11.19</v>
      </c>
    </row>
    <row r="918" spans="2:8">
      <c r="B918" s="630" t="s">
        <v>1232</v>
      </c>
      <c r="C918" s="631"/>
      <c r="D918" s="631"/>
      <c r="E918" s="631"/>
      <c r="F918" s="631"/>
      <c r="G918" s="632"/>
      <c r="H918" s="148">
        <f>SUM(H905:H917)</f>
        <v>718.65934025200011</v>
      </c>
    </row>
    <row r="919" spans="2:8">
      <c r="B919" s="659"/>
      <c r="C919" s="660"/>
      <c r="D919" s="660"/>
      <c r="E919" s="660"/>
      <c r="F919" s="660"/>
      <c r="G919" s="660"/>
      <c r="H919" s="660"/>
    </row>
    <row r="920" spans="2:8" ht="25.5">
      <c r="B920" s="139" t="s">
        <v>2055</v>
      </c>
      <c r="C920" s="140" t="s">
        <v>606</v>
      </c>
      <c r="D920" s="141" t="s">
        <v>12</v>
      </c>
      <c r="E920" s="141" t="s">
        <v>37</v>
      </c>
      <c r="F920" s="142"/>
      <c r="G920" s="143"/>
      <c r="H920" s="144"/>
    </row>
    <row r="921" spans="2:8">
      <c r="B921" s="145">
        <v>88248</v>
      </c>
      <c r="C921" s="98" t="s">
        <v>1243</v>
      </c>
      <c r="D921" s="99" t="s">
        <v>1229</v>
      </c>
      <c r="E921" s="99" t="s">
        <v>1129</v>
      </c>
      <c r="F921" s="94" t="s">
        <v>1512</v>
      </c>
      <c r="G921" s="95">
        <v>19.170000000000002</v>
      </c>
      <c r="H921" s="147">
        <f>F921*G921</f>
        <v>3.4506000000000001</v>
      </c>
    </row>
    <row r="922" spans="2:8">
      <c r="B922" s="145">
        <v>88267</v>
      </c>
      <c r="C922" s="98" t="s">
        <v>1245</v>
      </c>
      <c r="D922" s="99" t="s">
        <v>1229</v>
      </c>
      <c r="E922" s="99" t="s">
        <v>1129</v>
      </c>
      <c r="F922" s="94" t="s">
        <v>1512</v>
      </c>
      <c r="G922" s="95">
        <v>24.46</v>
      </c>
      <c r="H922" s="147">
        <f t="shared" ref="H922:H926" si="91">F922*G922</f>
        <v>4.4028</v>
      </c>
    </row>
    <row r="923" spans="2:8" ht="25.5">
      <c r="B923" s="145" t="s">
        <v>1584</v>
      </c>
      <c r="C923" s="98" t="s">
        <v>1585</v>
      </c>
      <c r="D923" s="99" t="s">
        <v>401</v>
      </c>
      <c r="E923" s="99" t="s">
        <v>37</v>
      </c>
      <c r="F923" s="191">
        <v>1.0142180089999999</v>
      </c>
      <c r="G923" s="95">
        <f>6.33*1.2217</f>
        <v>7.7333610000000004</v>
      </c>
      <c r="H923" s="147">
        <f t="shared" si="91"/>
        <v>7.8433139962982485</v>
      </c>
    </row>
    <row r="924" spans="2:8">
      <c r="B924" s="145">
        <v>20083</v>
      </c>
      <c r="C924" s="98" t="s">
        <v>1586</v>
      </c>
      <c r="D924" s="99" t="s">
        <v>401</v>
      </c>
      <c r="E924" s="99" t="s">
        <v>1294</v>
      </c>
      <c r="F924" s="94" t="s">
        <v>1345</v>
      </c>
      <c r="G924" s="95">
        <v>79.150000000000006</v>
      </c>
      <c r="H924" s="147">
        <f t="shared" si="91"/>
        <v>0.31660000000000005</v>
      </c>
    </row>
    <row r="925" spans="2:8">
      <c r="B925" s="145">
        <v>122</v>
      </c>
      <c r="C925" s="98" t="s">
        <v>1253</v>
      </c>
      <c r="D925" s="99" t="s">
        <v>401</v>
      </c>
      <c r="E925" s="99" t="s">
        <v>112</v>
      </c>
      <c r="F925" s="94" t="s">
        <v>1587</v>
      </c>
      <c r="G925" s="95">
        <v>69.86</v>
      </c>
      <c r="H925" s="147">
        <f t="shared" si="91"/>
        <v>0.153692</v>
      </c>
    </row>
    <row r="926" spans="2:8" ht="25.5">
      <c r="B926" s="145">
        <v>3148</v>
      </c>
      <c r="C926" s="98" t="s">
        <v>1255</v>
      </c>
      <c r="D926" s="99" t="s">
        <v>401</v>
      </c>
      <c r="E926" s="99" t="s">
        <v>37</v>
      </c>
      <c r="F926" s="94">
        <v>5.5599999999999998E-3</v>
      </c>
      <c r="G926" s="95">
        <v>13.68</v>
      </c>
      <c r="H926" s="147">
        <f t="shared" si="91"/>
        <v>7.6060799999999998E-2</v>
      </c>
    </row>
    <row r="927" spans="2:8">
      <c r="B927" s="630" t="s">
        <v>1232</v>
      </c>
      <c r="C927" s="631"/>
      <c r="D927" s="631"/>
      <c r="E927" s="631"/>
      <c r="F927" s="631"/>
      <c r="G927" s="632"/>
      <c r="H927" s="148">
        <f>SUM(H921:H926)</f>
        <v>16.243066796298251</v>
      </c>
    </row>
    <row r="928" spans="2:8">
      <c r="B928" s="621"/>
      <c r="C928" s="622"/>
      <c r="D928" s="622"/>
      <c r="E928" s="622"/>
      <c r="F928" s="622"/>
      <c r="G928" s="622"/>
      <c r="H928" s="623"/>
    </row>
    <row r="929" spans="2:8" ht="25.5">
      <c r="B929" s="139" t="s">
        <v>2056</v>
      </c>
      <c r="C929" s="140" t="s">
        <v>608</v>
      </c>
      <c r="D929" s="141" t="s">
        <v>12</v>
      </c>
      <c r="E929" s="141" t="s">
        <v>37</v>
      </c>
      <c r="F929" s="142"/>
      <c r="G929" s="143"/>
      <c r="H929" s="144"/>
    </row>
    <row r="930" spans="2:8">
      <c r="B930" s="145">
        <v>88248</v>
      </c>
      <c r="C930" s="98" t="s">
        <v>1243</v>
      </c>
      <c r="D930" s="99" t="s">
        <v>1229</v>
      </c>
      <c r="E930" s="99" t="s">
        <v>1129</v>
      </c>
      <c r="F930" s="94" t="s">
        <v>1588</v>
      </c>
      <c r="G930" s="95">
        <v>19.170000000000002</v>
      </c>
      <c r="H930" s="147">
        <f>F930*G930</f>
        <v>1.7253000000000001</v>
      </c>
    </row>
    <row r="931" spans="2:8">
      <c r="B931" s="145">
        <v>88267</v>
      </c>
      <c r="C931" s="98" t="s">
        <v>1245</v>
      </c>
      <c r="D931" s="99" t="s">
        <v>1229</v>
      </c>
      <c r="E931" s="99" t="s">
        <v>1129</v>
      </c>
      <c r="F931" s="94" t="s">
        <v>1588</v>
      </c>
      <c r="G931" s="95">
        <v>24.46</v>
      </c>
      <c r="H931" s="147">
        <f t="shared" ref="H931:H934" si="92">F931*G931</f>
        <v>2.2014</v>
      </c>
    </row>
    <row r="932" spans="2:8">
      <c r="B932" s="145">
        <v>20083</v>
      </c>
      <c r="C932" s="98" t="s">
        <v>1586</v>
      </c>
      <c r="D932" s="99" t="s">
        <v>401</v>
      </c>
      <c r="E932" s="99" t="s">
        <v>1294</v>
      </c>
      <c r="F932" s="94" t="s">
        <v>1589</v>
      </c>
      <c r="G932" s="95">
        <v>79.150000000000006</v>
      </c>
      <c r="H932" s="147">
        <f t="shared" si="92"/>
        <v>0.75192500000000007</v>
      </c>
    </row>
    <row r="933" spans="2:8" ht="25.5">
      <c r="B933" s="145" t="s">
        <v>1590</v>
      </c>
      <c r="C933" s="98" t="s">
        <v>1591</v>
      </c>
      <c r="D933" s="99" t="s">
        <v>401</v>
      </c>
      <c r="E933" s="99" t="s">
        <v>37</v>
      </c>
      <c r="F933" s="94">
        <v>1.013605442</v>
      </c>
      <c r="G933" s="95">
        <f>1.47*1.2217</f>
        <v>1.7958989999999999</v>
      </c>
      <c r="H933" s="147">
        <f t="shared" si="92"/>
        <v>1.8203329996823578</v>
      </c>
    </row>
    <row r="934" spans="2:8">
      <c r="B934" s="145">
        <v>122</v>
      </c>
      <c r="C934" s="98" t="s">
        <v>1253</v>
      </c>
      <c r="D934" s="99" t="s">
        <v>401</v>
      </c>
      <c r="E934" s="99" t="s">
        <v>112</v>
      </c>
      <c r="F934" s="94">
        <v>5.28E-3</v>
      </c>
      <c r="G934" s="95">
        <v>69.86</v>
      </c>
      <c r="H934" s="147">
        <f t="shared" si="92"/>
        <v>0.36886079999999999</v>
      </c>
    </row>
    <row r="935" spans="2:8">
      <c r="B935" s="630" t="s">
        <v>1232</v>
      </c>
      <c r="C935" s="631"/>
      <c r="D935" s="631"/>
      <c r="E935" s="631"/>
      <c r="F935" s="631"/>
      <c r="G935" s="632"/>
      <c r="H935" s="148">
        <f>SUM(H930:H934)</f>
        <v>6.8678187996823583</v>
      </c>
    </row>
    <row r="936" spans="2:8">
      <c r="B936" s="621"/>
      <c r="C936" s="622"/>
      <c r="D936" s="622"/>
      <c r="E936" s="622"/>
      <c r="F936" s="622"/>
      <c r="G936" s="622"/>
      <c r="H936" s="623"/>
    </row>
    <row r="937" spans="2:8" ht="25.5">
      <c r="B937" s="139" t="s">
        <v>2057</v>
      </c>
      <c r="C937" s="140" t="s">
        <v>609</v>
      </c>
      <c r="D937" s="141" t="s">
        <v>12</v>
      </c>
      <c r="E937" s="141" t="s">
        <v>37</v>
      </c>
      <c r="F937" s="142"/>
      <c r="G937" s="143"/>
      <c r="H937" s="144"/>
    </row>
    <row r="938" spans="2:8">
      <c r="B938" s="145">
        <v>88248</v>
      </c>
      <c r="C938" s="98" t="s">
        <v>1243</v>
      </c>
      <c r="D938" s="99" t="s">
        <v>1229</v>
      </c>
      <c r="E938" s="99" t="s">
        <v>1129</v>
      </c>
      <c r="F938" s="94" t="s">
        <v>1592</v>
      </c>
      <c r="G938" s="95">
        <v>19.170000000000002</v>
      </c>
      <c r="H938" s="147">
        <f>F938*G938</f>
        <v>2.6838000000000006</v>
      </c>
    </row>
    <row r="939" spans="2:8">
      <c r="B939" s="145">
        <v>88267</v>
      </c>
      <c r="C939" s="98" t="s">
        <v>1245</v>
      </c>
      <c r="D939" s="99" t="s">
        <v>1229</v>
      </c>
      <c r="E939" s="99" t="s">
        <v>1129</v>
      </c>
      <c r="F939" s="94" t="s">
        <v>1592</v>
      </c>
      <c r="G939" s="95">
        <v>24.46</v>
      </c>
      <c r="H939" s="147">
        <f t="shared" ref="H939:H942" si="93">F939*G939</f>
        <v>3.4244000000000003</v>
      </c>
    </row>
    <row r="940" spans="2:8">
      <c r="B940" s="145">
        <v>20083</v>
      </c>
      <c r="C940" s="98" t="s">
        <v>1586</v>
      </c>
      <c r="D940" s="99" t="s">
        <v>401</v>
      </c>
      <c r="E940" s="99" t="s">
        <v>1294</v>
      </c>
      <c r="F940" s="94" t="s">
        <v>1593</v>
      </c>
      <c r="G940" s="95">
        <v>79.150000000000006</v>
      </c>
      <c r="H940" s="147">
        <f t="shared" si="93"/>
        <v>0.98937500000000012</v>
      </c>
    </row>
    <row r="941" spans="2:8" ht="25.5">
      <c r="B941" s="145" t="s">
        <v>1594</v>
      </c>
      <c r="C941" s="98" t="s">
        <v>1595</v>
      </c>
      <c r="D941" s="99" t="s">
        <v>401</v>
      </c>
      <c r="E941" s="99" t="s">
        <v>37</v>
      </c>
      <c r="F941" s="94">
        <v>1.012121212</v>
      </c>
      <c r="G941" s="95">
        <f>1.65*1.2217</f>
        <v>2.0158049999999998</v>
      </c>
      <c r="H941" s="147">
        <f t="shared" si="93"/>
        <v>2.04023899975566</v>
      </c>
    </row>
    <row r="942" spans="2:8">
      <c r="B942" s="145">
        <v>122</v>
      </c>
      <c r="C942" s="98" t="s">
        <v>1253</v>
      </c>
      <c r="D942" s="99" t="s">
        <v>401</v>
      </c>
      <c r="E942" s="99" t="s">
        <v>112</v>
      </c>
      <c r="F942" s="94" t="s">
        <v>1596</v>
      </c>
      <c r="G942" s="95">
        <v>69.86</v>
      </c>
      <c r="H942" s="147">
        <f t="shared" si="93"/>
        <v>0.52255279999999993</v>
      </c>
    </row>
    <row r="943" spans="2:8">
      <c r="B943" s="630" t="s">
        <v>1232</v>
      </c>
      <c r="C943" s="631"/>
      <c r="D943" s="631"/>
      <c r="E943" s="631"/>
      <c r="F943" s="631"/>
      <c r="G943" s="632"/>
      <c r="H943" s="148">
        <f>SUM(H938:H942)</f>
        <v>9.6603667997556606</v>
      </c>
    </row>
    <row r="944" spans="2:8">
      <c r="B944" s="627"/>
      <c r="C944" s="628"/>
      <c r="D944" s="628"/>
      <c r="E944" s="628"/>
      <c r="F944" s="628"/>
      <c r="G944" s="628"/>
      <c r="H944" s="629"/>
    </row>
    <row r="945" spans="2:8" ht="25.5">
      <c r="B945" s="139" t="s">
        <v>2058</v>
      </c>
      <c r="C945" s="140" t="s">
        <v>610</v>
      </c>
      <c r="D945" s="141" t="s">
        <v>12</v>
      </c>
      <c r="E945" s="141" t="s">
        <v>37</v>
      </c>
      <c r="F945" s="142"/>
      <c r="G945" s="143"/>
      <c r="H945" s="144"/>
    </row>
    <row r="946" spans="2:8">
      <c r="B946" s="145">
        <v>88248</v>
      </c>
      <c r="C946" s="98" t="s">
        <v>1243</v>
      </c>
      <c r="D946" s="99" t="s">
        <v>1229</v>
      </c>
      <c r="E946" s="99" t="s">
        <v>1129</v>
      </c>
      <c r="F946" s="94" t="s">
        <v>1597</v>
      </c>
      <c r="G946" s="95">
        <v>19.170000000000002</v>
      </c>
      <c r="H946" s="147">
        <f>F946*G946</f>
        <v>3.2589000000000006</v>
      </c>
    </row>
    <row r="947" spans="2:8">
      <c r="B947" s="145">
        <v>88267</v>
      </c>
      <c r="C947" s="98" t="s">
        <v>1245</v>
      </c>
      <c r="D947" s="99" t="s">
        <v>1229</v>
      </c>
      <c r="E947" s="99" t="s">
        <v>1129</v>
      </c>
      <c r="F947" s="94" t="s">
        <v>1597</v>
      </c>
      <c r="G947" s="95">
        <v>24.46</v>
      </c>
      <c r="H947" s="147">
        <f t="shared" ref="H947:H950" si="94">F947*G947</f>
        <v>4.1582000000000008</v>
      </c>
    </row>
    <row r="948" spans="2:8">
      <c r="B948" s="145">
        <v>20083</v>
      </c>
      <c r="C948" s="98" t="s">
        <v>1586</v>
      </c>
      <c r="D948" s="99" t="s">
        <v>401</v>
      </c>
      <c r="E948" s="99" t="s">
        <v>1294</v>
      </c>
      <c r="F948" s="94" t="s">
        <v>1598</v>
      </c>
      <c r="G948" s="95">
        <v>79.150000000000006</v>
      </c>
      <c r="H948" s="147">
        <f t="shared" si="94"/>
        <v>1.2030800000000001</v>
      </c>
    </row>
    <row r="949" spans="2:8" ht="25.5">
      <c r="B949" s="145" t="s">
        <v>1599</v>
      </c>
      <c r="C949" s="98" t="s">
        <v>1600</v>
      </c>
      <c r="D949" s="99" t="s">
        <v>401</v>
      </c>
      <c r="E949" s="99" t="s">
        <v>37</v>
      </c>
      <c r="F949" s="94">
        <v>1.0160427809999999</v>
      </c>
      <c r="G949" s="95">
        <f>3.74*1.2217</f>
        <v>4.5691580000000007</v>
      </c>
      <c r="H949" s="147">
        <f t="shared" si="94"/>
        <v>4.6424600011483985</v>
      </c>
    </row>
    <row r="950" spans="2:8">
      <c r="B950" s="145">
        <v>122</v>
      </c>
      <c r="C950" s="98" t="s">
        <v>1253</v>
      </c>
      <c r="D950" s="99" t="s">
        <v>401</v>
      </c>
      <c r="E950" s="99" t="s">
        <v>112</v>
      </c>
      <c r="F950" s="94" t="s">
        <v>1601</v>
      </c>
      <c r="G950" s="95">
        <v>69.86</v>
      </c>
      <c r="H950" s="147">
        <f t="shared" si="94"/>
        <v>0.81037599999999999</v>
      </c>
    </row>
    <row r="951" spans="2:8">
      <c r="B951" s="630" t="s">
        <v>1232</v>
      </c>
      <c r="C951" s="631"/>
      <c r="D951" s="631"/>
      <c r="E951" s="631"/>
      <c r="F951" s="631"/>
      <c r="G951" s="632"/>
      <c r="H951" s="148">
        <f>SUM(H946:H950)</f>
        <v>14.0730160011484</v>
      </c>
    </row>
    <row r="952" spans="2:8">
      <c r="B952" s="621"/>
      <c r="C952" s="622"/>
      <c r="D952" s="622"/>
      <c r="E952" s="622"/>
      <c r="F952" s="622"/>
      <c r="G952" s="622"/>
      <c r="H952" s="623"/>
    </row>
    <row r="953" spans="2:8" ht="64.5" customHeight="1">
      <c r="B953" s="139" t="s">
        <v>2059</v>
      </c>
      <c r="C953" s="140" t="s">
        <v>665</v>
      </c>
      <c r="D953" s="141" t="s">
        <v>12</v>
      </c>
      <c r="E953" s="141" t="s">
        <v>37</v>
      </c>
      <c r="F953" s="142"/>
      <c r="G953" s="143"/>
      <c r="H953" s="144"/>
    </row>
    <row r="954" spans="2:8" ht="15" customHeight="1">
      <c r="B954" s="145">
        <v>88248</v>
      </c>
      <c r="C954" s="98" t="s">
        <v>1243</v>
      </c>
      <c r="D954" s="99" t="s">
        <v>1229</v>
      </c>
      <c r="E954" s="99" t="s">
        <v>1129</v>
      </c>
      <c r="F954" s="94">
        <v>3.3007633589999998</v>
      </c>
      <c r="G954" s="95">
        <v>19.170000000000002</v>
      </c>
      <c r="H954" s="147">
        <f>F954*G954</f>
        <v>63.275633592030005</v>
      </c>
    </row>
    <row r="955" spans="2:8" ht="15" customHeight="1">
      <c r="B955" s="145">
        <v>88267</v>
      </c>
      <c r="C955" s="98" t="s">
        <v>1245</v>
      </c>
      <c r="D955" s="99" t="s">
        <v>1229</v>
      </c>
      <c r="E955" s="99" t="s">
        <v>1129</v>
      </c>
      <c r="F955" s="94">
        <v>3.2998745289999998</v>
      </c>
      <c r="G955" s="95">
        <v>24.46</v>
      </c>
      <c r="H955" s="147">
        <f t="shared" ref="H955:H968" si="95">F955*G955</f>
        <v>80.714930979339996</v>
      </c>
    </row>
    <row r="956" spans="2:8" ht="15" customHeight="1">
      <c r="B956" s="145">
        <v>88309</v>
      </c>
      <c r="C956" s="98" t="s">
        <v>1246</v>
      </c>
      <c r="D956" s="99" t="s">
        <v>1229</v>
      </c>
      <c r="E956" s="99" t="s">
        <v>1129</v>
      </c>
      <c r="F956" s="94">
        <v>1</v>
      </c>
      <c r="G956" s="95">
        <v>25.07</v>
      </c>
      <c r="H956" s="147">
        <f t="shared" si="95"/>
        <v>25.07</v>
      </c>
    </row>
    <row r="957" spans="2:8" ht="15" customHeight="1">
      <c r="B957" s="145">
        <v>88316</v>
      </c>
      <c r="C957" s="98" t="s">
        <v>1247</v>
      </c>
      <c r="D957" s="99" t="s">
        <v>1229</v>
      </c>
      <c r="E957" s="99" t="s">
        <v>1129</v>
      </c>
      <c r="F957" s="94">
        <v>1</v>
      </c>
      <c r="G957" s="95">
        <v>18.649999999999999</v>
      </c>
      <c r="H957" s="147">
        <f t="shared" si="95"/>
        <v>18.649999999999999</v>
      </c>
    </row>
    <row r="958" spans="2:8" ht="25.5" customHeight="1">
      <c r="B958" s="145">
        <v>3148</v>
      </c>
      <c r="C958" s="98" t="s">
        <v>2060</v>
      </c>
      <c r="D958" s="99" t="s">
        <v>401</v>
      </c>
      <c r="E958" s="99" t="s">
        <v>37</v>
      </c>
      <c r="F958" s="94">
        <v>2.08623E-2</v>
      </c>
      <c r="G958" s="95">
        <v>13.68</v>
      </c>
      <c r="H958" s="147">
        <f t="shared" si="95"/>
        <v>0.28539626400000001</v>
      </c>
    </row>
    <row r="959" spans="2:8" ht="25.5" customHeight="1">
      <c r="B959" s="145">
        <v>38643</v>
      </c>
      <c r="C959" s="98" t="s">
        <v>2061</v>
      </c>
      <c r="D959" s="99" t="s">
        <v>401</v>
      </c>
      <c r="E959" s="99" t="s">
        <v>37</v>
      </c>
      <c r="F959" s="94">
        <v>1</v>
      </c>
      <c r="G959" s="95">
        <v>40.85</v>
      </c>
      <c r="H959" s="147">
        <f t="shared" si="95"/>
        <v>40.85</v>
      </c>
    </row>
    <row r="960" spans="2:8" ht="15" customHeight="1">
      <c r="B960" s="145">
        <v>6141</v>
      </c>
      <c r="C960" s="98" t="s">
        <v>1604</v>
      </c>
      <c r="D960" s="99" t="s">
        <v>401</v>
      </c>
      <c r="E960" s="99" t="s">
        <v>37</v>
      </c>
      <c r="F960" s="94">
        <v>1</v>
      </c>
      <c r="G960" s="95">
        <v>3.94</v>
      </c>
      <c r="H960" s="147">
        <f t="shared" si="95"/>
        <v>3.94</v>
      </c>
    </row>
    <row r="961" spans="2:8" ht="15" customHeight="1">
      <c r="B961" s="145">
        <v>11683</v>
      </c>
      <c r="C961" s="98" t="s">
        <v>1605</v>
      </c>
      <c r="D961" s="99" t="s">
        <v>401</v>
      </c>
      <c r="E961" s="99" t="s">
        <v>37</v>
      </c>
      <c r="F961" s="94">
        <v>1</v>
      </c>
      <c r="G961" s="95">
        <v>37.47</v>
      </c>
      <c r="H961" s="147">
        <f t="shared" si="95"/>
        <v>37.47</v>
      </c>
    </row>
    <row r="962" spans="2:8" ht="25.5" customHeight="1">
      <c r="B962" s="145" t="s">
        <v>1606</v>
      </c>
      <c r="C962" s="98" t="s">
        <v>1607</v>
      </c>
      <c r="D962" s="99" t="s">
        <v>401</v>
      </c>
      <c r="E962" s="99" t="s">
        <v>37</v>
      </c>
      <c r="F962" s="94">
        <v>1</v>
      </c>
      <c r="G962" s="95">
        <f>122.2*1.2217</f>
        <v>149.29174</v>
      </c>
      <c r="H962" s="147">
        <f t="shared" si="95"/>
        <v>149.29174</v>
      </c>
    </row>
    <row r="963" spans="2:8" ht="25.5" customHeight="1">
      <c r="B963" s="145" t="s">
        <v>2062</v>
      </c>
      <c r="C963" s="98" t="s">
        <v>1608</v>
      </c>
      <c r="D963" s="99" t="s">
        <v>401</v>
      </c>
      <c r="E963" s="99" t="s">
        <v>37</v>
      </c>
      <c r="F963" s="94">
        <v>1</v>
      </c>
      <c r="G963" s="95">
        <f>208.23*1.2217</f>
        <v>254.39459099999999</v>
      </c>
      <c r="H963" s="147">
        <f t="shared" si="95"/>
        <v>254.39459099999999</v>
      </c>
    </row>
    <row r="964" spans="2:8" ht="25.5" customHeight="1">
      <c r="B964" s="145">
        <v>6136</v>
      </c>
      <c r="C964" s="98" t="s">
        <v>2063</v>
      </c>
      <c r="D964" s="99" t="s">
        <v>401</v>
      </c>
      <c r="E964" s="99" t="s">
        <v>37</v>
      </c>
      <c r="F964" s="94">
        <v>1</v>
      </c>
      <c r="G964" s="95">
        <v>163.4</v>
      </c>
      <c r="H964" s="147">
        <f t="shared" si="95"/>
        <v>163.4</v>
      </c>
    </row>
    <row r="965" spans="2:8" ht="51">
      <c r="B965" s="145" t="s">
        <v>1609</v>
      </c>
      <c r="C965" s="98" t="s">
        <v>1610</v>
      </c>
      <c r="D965" s="99" t="s">
        <v>401</v>
      </c>
      <c r="E965" s="99" t="s">
        <v>37</v>
      </c>
      <c r="F965" s="94">
        <v>1</v>
      </c>
      <c r="G965" s="95">
        <f>1308.03*1.2217</f>
        <v>1598.0202509999999</v>
      </c>
      <c r="H965" s="147">
        <f t="shared" si="95"/>
        <v>1598.0202509999999</v>
      </c>
    </row>
    <row r="966" spans="2:8" ht="25.5">
      <c r="B966" s="145">
        <v>11769</v>
      </c>
      <c r="C966" s="98" t="s">
        <v>2064</v>
      </c>
      <c r="D966" s="99" t="s">
        <v>401</v>
      </c>
      <c r="E966" s="99" t="s">
        <v>37</v>
      </c>
      <c r="F966" s="94">
        <v>1</v>
      </c>
      <c r="G966" s="95">
        <v>312.98</v>
      </c>
      <c r="H966" s="147">
        <f t="shared" si="95"/>
        <v>312.98</v>
      </c>
    </row>
    <row r="967" spans="2:8">
      <c r="B967" s="145" t="s">
        <v>1611</v>
      </c>
      <c r="C967" s="98" t="s">
        <v>1612</v>
      </c>
      <c r="D967" s="99" t="s">
        <v>401</v>
      </c>
      <c r="E967" s="99" t="s">
        <v>37</v>
      </c>
      <c r="F967" s="94">
        <v>2</v>
      </c>
      <c r="G967" s="95">
        <f>2.25*1.2217</f>
        <v>2.7488250000000001</v>
      </c>
      <c r="H967" s="147">
        <f t="shared" si="95"/>
        <v>5.4976500000000001</v>
      </c>
    </row>
    <row r="968" spans="2:8" ht="15" customHeight="1">
      <c r="B968" s="145" t="s">
        <v>1613</v>
      </c>
      <c r="C968" s="98" t="s">
        <v>1614</v>
      </c>
      <c r="D968" s="99" t="s">
        <v>401</v>
      </c>
      <c r="E968" s="99" t="s">
        <v>37</v>
      </c>
      <c r="F968" s="94">
        <v>6</v>
      </c>
      <c r="G968" s="95">
        <f>2.28*1.2217</f>
        <v>2.7854759999999996</v>
      </c>
      <c r="H968" s="147">
        <f t="shared" si="95"/>
        <v>16.712855999999999</v>
      </c>
    </row>
    <row r="969" spans="2:8" ht="15" customHeight="1">
      <c r="B969" s="630" t="s">
        <v>1232</v>
      </c>
      <c r="C969" s="631"/>
      <c r="D969" s="631"/>
      <c r="E969" s="631"/>
      <c r="F969" s="631"/>
      <c r="G969" s="632"/>
      <c r="H969" s="148">
        <f>SUM(H954:H968)</f>
        <v>2770.5530488353697</v>
      </c>
    </row>
    <row r="970" spans="2:8" ht="15" customHeight="1">
      <c r="B970" s="621"/>
      <c r="C970" s="622"/>
      <c r="D970" s="622"/>
      <c r="E970" s="622"/>
      <c r="F970" s="622"/>
      <c r="G970" s="622"/>
      <c r="H970" s="623"/>
    </row>
    <row r="971" spans="2:8" ht="93.75" customHeight="1">
      <c r="B971" s="139" t="s">
        <v>2065</v>
      </c>
      <c r="C971" s="140" t="s">
        <v>666</v>
      </c>
      <c r="D971" s="141" t="s">
        <v>12</v>
      </c>
      <c r="E971" s="141" t="s">
        <v>37</v>
      </c>
      <c r="F971" s="142"/>
      <c r="G971" s="143"/>
      <c r="H971" s="144"/>
    </row>
    <row r="972" spans="2:8" ht="25.5" customHeight="1">
      <c r="B972" s="145">
        <v>10432</v>
      </c>
      <c r="C972" s="98" t="s">
        <v>1615</v>
      </c>
      <c r="D972" s="99" t="s">
        <v>401</v>
      </c>
      <c r="E972" s="99" t="s">
        <v>37</v>
      </c>
      <c r="F972" s="94">
        <v>1</v>
      </c>
      <c r="G972" s="95">
        <v>281.64999999999998</v>
      </c>
      <c r="H972" s="147">
        <f>F972*G972</f>
        <v>281.64999999999998</v>
      </c>
    </row>
    <row r="973" spans="2:8" ht="25.5">
      <c r="B973" s="145">
        <v>11683</v>
      </c>
      <c r="C973" s="98" t="s">
        <v>1616</v>
      </c>
      <c r="D973" s="99" t="s">
        <v>401</v>
      </c>
      <c r="E973" s="99" t="s">
        <v>37</v>
      </c>
      <c r="F973" s="94">
        <v>1</v>
      </c>
      <c r="G973" s="95">
        <v>37.47</v>
      </c>
      <c r="H973" s="147">
        <f t="shared" ref="H973:H978" si="96">F973*G973</f>
        <v>37.47</v>
      </c>
    </row>
    <row r="974" spans="2:8" ht="25.5" customHeight="1">
      <c r="B974" s="145">
        <v>3146</v>
      </c>
      <c r="C974" s="98" t="s">
        <v>1617</v>
      </c>
      <c r="D974" s="99" t="s">
        <v>401</v>
      </c>
      <c r="E974" s="99" t="s">
        <v>37</v>
      </c>
      <c r="F974" s="94" t="s">
        <v>1580</v>
      </c>
      <c r="G974" s="95">
        <v>3.71</v>
      </c>
      <c r="H974" s="147">
        <f t="shared" si="96"/>
        <v>0.28195999999999999</v>
      </c>
    </row>
    <row r="975" spans="2:8" ht="63.75">
      <c r="B975" s="145">
        <v>4351</v>
      </c>
      <c r="C975" s="98" t="s">
        <v>1618</v>
      </c>
      <c r="D975" s="99" t="s">
        <v>401</v>
      </c>
      <c r="E975" s="99" t="s">
        <v>37</v>
      </c>
      <c r="F975" s="94">
        <v>2</v>
      </c>
      <c r="G975" s="95">
        <v>15.79</v>
      </c>
      <c r="H975" s="147">
        <f t="shared" si="96"/>
        <v>31.58</v>
      </c>
    </row>
    <row r="976" spans="2:8" ht="42.75" customHeight="1">
      <c r="B976" s="145">
        <v>6021</v>
      </c>
      <c r="C976" s="98" t="s">
        <v>1619</v>
      </c>
      <c r="D976" s="99" t="s">
        <v>401</v>
      </c>
      <c r="E976" s="99" t="s">
        <v>37</v>
      </c>
      <c r="F976" s="94">
        <v>1</v>
      </c>
      <c r="G976" s="95">
        <v>74.010000000000005</v>
      </c>
      <c r="H976" s="147">
        <f t="shared" si="96"/>
        <v>74.010000000000005</v>
      </c>
    </row>
    <row r="977" spans="2:8" ht="38.25">
      <c r="B977" s="145" t="s">
        <v>1377</v>
      </c>
      <c r="C977" s="98" t="s">
        <v>1378</v>
      </c>
      <c r="D977" s="99" t="s">
        <v>12</v>
      </c>
      <c r="E977" s="99" t="s">
        <v>1129</v>
      </c>
      <c r="F977" s="94">
        <v>3.1998175190000002</v>
      </c>
      <c r="G977" s="95">
        <v>19.170000000000002</v>
      </c>
      <c r="H977" s="147">
        <f t="shared" si="96"/>
        <v>61.340501839230008</v>
      </c>
    </row>
    <row r="978" spans="2:8" ht="39.75" customHeight="1">
      <c r="B978" s="145" t="s">
        <v>1379</v>
      </c>
      <c r="C978" s="98" t="s">
        <v>1380</v>
      </c>
      <c r="D978" s="99" t="s">
        <v>12</v>
      </c>
      <c r="E978" s="99" t="s">
        <v>1129</v>
      </c>
      <c r="F978" s="94">
        <v>3.2001510569999998</v>
      </c>
      <c r="G978" s="95">
        <v>24.46</v>
      </c>
      <c r="H978" s="147">
        <f t="shared" si="96"/>
        <v>78.275694854219992</v>
      </c>
    </row>
    <row r="979" spans="2:8" ht="15" customHeight="1">
      <c r="B979" s="630" t="s">
        <v>1232</v>
      </c>
      <c r="C979" s="631"/>
      <c r="D979" s="631"/>
      <c r="E979" s="631"/>
      <c r="F979" s="631"/>
      <c r="G979" s="632"/>
      <c r="H979" s="148">
        <f>SUM(H972:H978)</f>
        <v>564.60815669345004</v>
      </c>
    </row>
    <row r="980" spans="2:8" ht="15" customHeight="1">
      <c r="B980" s="627"/>
      <c r="C980" s="628"/>
      <c r="D980" s="628"/>
      <c r="E980" s="628"/>
      <c r="F980" s="628"/>
      <c r="G980" s="628"/>
      <c r="H980" s="629"/>
    </row>
    <row r="981" spans="2:8" ht="25.5" customHeight="1">
      <c r="B981" s="139" t="s">
        <v>2066</v>
      </c>
      <c r="C981" s="140" t="s">
        <v>693</v>
      </c>
      <c r="D981" s="141" t="s">
        <v>12</v>
      </c>
      <c r="E981" s="141" t="s">
        <v>37</v>
      </c>
      <c r="F981" s="142"/>
      <c r="G981" s="143"/>
      <c r="H981" s="144"/>
    </row>
    <row r="982" spans="2:8" ht="63.75">
      <c r="B982" s="145">
        <v>734</v>
      </c>
      <c r="C982" s="98" t="s">
        <v>1621</v>
      </c>
      <c r="D982" s="99" t="s">
        <v>401</v>
      </c>
      <c r="E982" s="99" t="s">
        <v>37</v>
      </c>
      <c r="F982" s="94">
        <v>1</v>
      </c>
      <c r="G982" s="95">
        <v>1547.64</v>
      </c>
      <c r="H982" s="147">
        <f>F982*G982</f>
        <v>1547.64</v>
      </c>
    </row>
    <row r="983" spans="2:8" ht="15" customHeight="1">
      <c r="B983" s="145" t="s">
        <v>1356</v>
      </c>
      <c r="C983" s="98" t="s">
        <v>2067</v>
      </c>
      <c r="D983" s="99" t="s">
        <v>12</v>
      </c>
      <c r="E983" s="99" t="s">
        <v>1129</v>
      </c>
      <c r="F983" s="94">
        <v>6.1006493510000004</v>
      </c>
      <c r="G983" s="95">
        <v>22.06</v>
      </c>
      <c r="H983" s="147">
        <f t="shared" ref="H983:H984" si="97">F983*G983</f>
        <v>134.58032468306001</v>
      </c>
    </row>
    <row r="984" spans="2:8" ht="25.5">
      <c r="B984" s="145" t="s">
        <v>1622</v>
      </c>
      <c r="C984" s="98" t="s">
        <v>1623</v>
      </c>
      <c r="D984" s="99" t="s">
        <v>12</v>
      </c>
      <c r="E984" s="99" t="s">
        <v>1129</v>
      </c>
      <c r="F984" s="94">
        <v>6.101060071</v>
      </c>
      <c r="G984" s="95">
        <v>26.2</v>
      </c>
      <c r="H984" s="147">
        <f t="shared" si="97"/>
        <v>159.84777386019999</v>
      </c>
    </row>
    <row r="985" spans="2:8" ht="15" customHeight="1">
      <c r="B985" s="630" t="s">
        <v>1232</v>
      </c>
      <c r="C985" s="631"/>
      <c r="D985" s="631"/>
      <c r="E985" s="631"/>
      <c r="F985" s="631"/>
      <c r="G985" s="632"/>
      <c r="H985" s="148">
        <f>SUM(H982:H984)</f>
        <v>1842.0680985432602</v>
      </c>
    </row>
    <row r="986" spans="2:8">
      <c r="B986" s="621"/>
      <c r="C986" s="622"/>
      <c r="D986" s="622"/>
      <c r="E986" s="622"/>
      <c r="F986" s="622"/>
      <c r="G986" s="622"/>
      <c r="H986" s="623"/>
    </row>
    <row r="987" spans="2:8" ht="51">
      <c r="B987" s="139" t="s">
        <v>2068</v>
      </c>
      <c r="C987" s="140" t="s">
        <v>699</v>
      </c>
      <c r="D987" s="141" t="s">
        <v>12</v>
      </c>
      <c r="E987" s="141" t="s">
        <v>24</v>
      </c>
      <c r="F987" s="142"/>
      <c r="G987" s="143"/>
      <c r="H987" s="144"/>
    </row>
    <row r="988" spans="2:8" ht="25.5">
      <c r="B988" s="145">
        <v>3768</v>
      </c>
      <c r="C988" s="98" t="s">
        <v>1541</v>
      </c>
      <c r="D988" s="99" t="s">
        <v>401</v>
      </c>
      <c r="E988" s="99" t="s">
        <v>37</v>
      </c>
      <c r="F988" s="94" t="s">
        <v>1280</v>
      </c>
      <c r="G988" s="95">
        <v>3.87</v>
      </c>
      <c r="H988" s="147">
        <f>F988*G988</f>
        <v>1.9350000000000001</v>
      </c>
    </row>
    <row r="989" spans="2:8" ht="25.5">
      <c r="B989" s="145">
        <v>43776</v>
      </c>
      <c r="C989" s="98" t="s">
        <v>1629</v>
      </c>
      <c r="D989" s="99" t="s">
        <v>401</v>
      </c>
      <c r="E989" s="99" t="s">
        <v>1294</v>
      </c>
      <c r="F989" s="94">
        <v>0.14961915100000001</v>
      </c>
      <c r="G989" s="95">
        <v>24.64</v>
      </c>
      <c r="H989" s="147">
        <f t="shared" ref="H989:H992" si="98">F989*G989</f>
        <v>3.6866158806400002</v>
      </c>
    </row>
    <row r="990" spans="2:8" ht="25.5">
      <c r="B990" s="145">
        <v>7307</v>
      </c>
      <c r="C990" s="98" t="s">
        <v>1544</v>
      </c>
      <c r="D990" s="99" t="s">
        <v>401</v>
      </c>
      <c r="E990" s="99" t="s">
        <v>1294</v>
      </c>
      <c r="F990" s="94" t="s">
        <v>1559</v>
      </c>
      <c r="G990" s="95">
        <v>38.17</v>
      </c>
      <c r="H990" s="147">
        <f t="shared" si="98"/>
        <v>4.1223600000000005</v>
      </c>
    </row>
    <row r="991" spans="2:8" ht="25.5">
      <c r="B991" s="145" t="s">
        <v>1385</v>
      </c>
      <c r="C991" s="98" t="s">
        <v>1386</v>
      </c>
      <c r="D991" s="99" t="s">
        <v>12</v>
      </c>
      <c r="E991" s="99" t="s">
        <v>1129</v>
      </c>
      <c r="F991" s="94" t="s">
        <v>1520</v>
      </c>
      <c r="G991" s="95">
        <v>26.13</v>
      </c>
      <c r="H991" s="147">
        <f t="shared" si="98"/>
        <v>8.6228999999999996</v>
      </c>
    </row>
    <row r="992" spans="2:8" ht="25.5">
      <c r="B992" s="145" t="s">
        <v>1286</v>
      </c>
      <c r="C992" s="98" t="s">
        <v>1287</v>
      </c>
      <c r="D992" s="99" t="s">
        <v>12</v>
      </c>
      <c r="E992" s="99" t="s">
        <v>1129</v>
      </c>
      <c r="F992" s="94" t="s">
        <v>1630</v>
      </c>
      <c r="G992" s="95">
        <v>18.649999999999999</v>
      </c>
      <c r="H992" s="147">
        <f t="shared" si="98"/>
        <v>2.984</v>
      </c>
    </row>
    <row r="993" spans="2:8">
      <c r="B993" s="630" t="s">
        <v>1232</v>
      </c>
      <c r="C993" s="631"/>
      <c r="D993" s="631"/>
      <c r="E993" s="631"/>
      <c r="F993" s="631"/>
      <c r="G993" s="632"/>
      <c r="H993" s="148">
        <f>SUM(H988:H992)</f>
        <v>21.350875880640004</v>
      </c>
    </row>
    <row r="994" spans="2:8">
      <c r="B994" s="621"/>
      <c r="C994" s="622"/>
      <c r="D994" s="622"/>
      <c r="E994" s="622"/>
      <c r="F994" s="622"/>
      <c r="G994" s="622"/>
      <c r="H994" s="623"/>
    </row>
    <row r="995" spans="2:8" ht="25.5">
      <c r="B995" s="139" t="s">
        <v>2069</v>
      </c>
      <c r="C995" s="140" t="s">
        <v>701</v>
      </c>
      <c r="D995" s="141" t="s">
        <v>12</v>
      </c>
      <c r="E995" s="141" t="s">
        <v>37</v>
      </c>
      <c r="F995" s="142"/>
      <c r="G995" s="143"/>
      <c r="H995" s="144"/>
    </row>
    <row r="996" spans="2:8" ht="25.5">
      <c r="B996" s="145">
        <v>11707</v>
      </c>
      <c r="C996" s="98" t="s">
        <v>1631</v>
      </c>
      <c r="D996" s="99" t="s">
        <v>401</v>
      </c>
      <c r="E996" s="99" t="s">
        <v>37</v>
      </c>
      <c r="F996" s="94">
        <v>1</v>
      </c>
      <c r="G996" s="95">
        <v>19.16</v>
      </c>
      <c r="H996" s="147">
        <f>F996*G996</f>
        <v>19.16</v>
      </c>
    </row>
    <row r="997" spans="2:8" ht="38.25">
      <c r="B997" s="145" t="s">
        <v>1377</v>
      </c>
      <c r="C997" s="98" t="s">
        <v>1378</v>
      </c>
      <c r="D997" s="99" t="s">
        <v>12</v>
      </c>
      <c r="E997" s="99" t="s">
        <v>1129</v>
      </c>
      <c r="F997" s="94" t="s">
        <v>1280</v>
      </c>
      <c r="G997" s="95">
        <v>19.170000000000002</v>
      </c>
      <c r="H997" s="147">
        <f t="shared" ref="H997:H998" si="99">F997*G997</f>
        <v>9.5850000000000009</v>
      </c>
    </row>
    <row r="998" spans="2:8" ht="25.5">
      <c r="B998" s="145" t="s">
        <v>1379</v>
      </c>
      <c r="C998" s="98" t="s">
        <v>1380</v>
      </c>
      <c r="D998" s="99" t="s">
        <v>12</v>
      </c>
      <c r="E998" s="99" t="s">
        <v>1129</v>
      </c>
      <c r="F998" s="94" t="s">
        <v>1280</v>
      </c>
      <c r="G998" s="95">
        <v>24.46</v>
      </c>
      <c r="H998" s="147">
        <f t="shared" si="99"/>
        <v>12.23</v>
      </c>
    </row>
    <row r="999" spans="2:8">
      <c r="B999" s="630" t="s">
        <v>1232</v>
      </c>
      <c r="C999" s="631"/>
      <c r="D999" s="631"/>
      <c r="E999" s="631"/>
      <c r="F999" s="631"/>
      <c r="G999" s="632"/>
      <c r="H999" s="148">
        <f>SUM(H996:H998)</f>
        <v>40.975000000000001</v>
      </c>
    </row>
    <row r="1000" spans="2:8">
      <c r="B1000" s="621"/>
      <c r="C1000" s="622"/>
      <c r="D1000" s="622"/>
      <c r="E1000" s="622"/>
      <c r="F1000" s="622"/>
      <c r="G1000" s="622"/>
      <c r="H1000" s="623"/>
    </row>
    <row r="1001" spans="2:8" ht="25.5">
      <c r="B1001" s="139" t="s">
        <v>2070</v>
      </c>
      <c r="C1001" s="140" t="s">
        <v>702</v>
      </c>
      <c r="D1001" s="141" t="s">
        <v>12</v>
      </c>
      <c r="E1001" s="141" t="s">
        <v>37</v>
      </c>
      <c r="F1001" s="142"/>
      <c r="G1001" s="143"/>
      <c r="H1001" s="144"/>
    </row>
    <row r="1002" spans="2:8" ht="25.5">
      <c r="B1002" s="145">
        <v>11708</v>
      </c>
      <c r="C1002" s="98" t="s">
        <v>1632</v>
      </c>
      <c r="D1002" s="99" t="s">
        <v>401</v>
      </c>
      <c r="E1002" s="99" t="s">
        <v>37</v>
      </c>
      <c r="F1002" s="94">
        <v>1</v>
      </c>
      <c r="G1002" s="95">
        <v>25.58</v>
      </c>
      <c r="H1002" s="147">
        <f>F1002*G1002</f>
        <v>25.58</v>
      </c>
    </row>
    <row r="1003" spans="2:8" ht="38.25">
      <c r="B1003" s="145" t="s">
        <v>1377</v>
      </c>
      <c r="C1003" s="98" t="s">
        <v>1378</v>
      </c>
      <c r="D1003" s="99" t="s">
        <v>12</v>
      </c>
      <c r="E1003" s="99" t="s">
        <v>1129</v>
      </c>
      <c r="F1003" s="94" t="s">
        <v>1280</v>
      </c>
      <c r="G1003" s="95">
        <v>19.170000000000002</v>
      </c>
      <c r="H1003" s="147">
        <f t="shared" ref="H1003:H1004" si="100">F1003*G1003</f>
        <v>9.5850000000000009</v>
      </c>
    </row>
    <row r="1004" spans="2:8" ht="25.5">
      <c r="B1004" s="145" t="s">
        <v>1379</v>
      </c>
      <c r="C1004" s="98" t="s">
        <v>1380</v>
      </c>
      <c r="D1004" s="99" t="s">
        <v>12</v>
      </c>
      <c r="E1004" s="99" t="s">
        <v>1129</v>
      </c>
      <c r="F1004" s="94" t="s">
        <v>1280</v>
      </c>
      <c r="G1004" s="95">
        <v>24.46</v>
      </c>
      <c r="H1004" s="147">
        <f t="shared" si="100"/>
        <v>12.23</v>
      </c>
    </row>
    <row r="1005" spans="2:8">
      <c r="B1005" s="630" t="s">
        <v>1232</v>
      </c>
      <c r="C1005" s="631"/>
      <c r="D1005" s="631"/>
      <c r="E1005" s="631"/>
      <c r="F1005" s="631"/>
      <c r="G1005" s="632"/>
      <c r="H1005" s="148">
        <f>SUM(H1002:H1004)</f>
        <v>47.394999999999996</v>
      </c>
    </row>
    <row r="1006" spans="2:8">
      <c r="B1006" s="621"/>
      <c r="C1006" s="622"/>
      <c r="D1006" s="622"/>
      <c r="E1006" s="622"/>
      <c r="F1006" s="622"/>
      <c r="G1006" s="622"/>
      <c r="H1006" s="623"/>
    </row>
    <row r="1007" spans="2:8" ht="25.5">
      <c r="B1007" s="139" t="s">
        <v>2071</v>
      </c>
      <c r="C1007" s="140" t="s">
        <v>1895</v>
      </c>
      <c r="D1007" s="141" t="s">
        <v>12</v>
      </c>
      <c r="E1007" s="141" t="s">
        <v>15</v>
      </c>
      <c r="F1007" s="194"/>
      <c r="G1007" s="143"/>
      <c r="H1007" s="144"/>
    </row>
    <row r="1008" spans="2:8" ht="25.5">
      <c r="B1008" s="145" t="s">
        <v>1896</v>
      </c>
      <c r="C1008" s="98" t="s">
        <v>1897</v>
      </c>
      <c r="D1008" s="99" t="s">
        <v>401</v>
      </c>
      <c r="E1008" s="99" t="s">
        <v>1603</v>
      </c>
      <c r="F1008" s="114">
        <v>1</v>
      </c>
      <c r="G1008" s="95">
        <f>115.12*1.2217</f>
        <v>140.64210400000002</v>
      </c>
      <c r="H1008" s="147">
        <f>F1008*G1008</f>
        <v>140.64210400000002</v>
      </c>
    </row>
    <row r="1009" spans="2:10" ht="25.5">
      <c r="B1009" s="145">
        <v>122</v>
      </c>
      <c r="C1009" s="98" t="s">
        <v>1602</v>
      </c>
      <c r="D1009" s="99" t="s">
        <v>401</v>
      </c>
      <c r="E1009" s="99" t="s">
        <v>37</v>
      </c>
      <c r="F1009" s="114" t="s">
        <v>1898</v>
      </c>
      <c r="G1009" s="95">
        <v>69.86</v>
      </c>
      <c r="H1009" s="147">
        <f t="shared" ref="H1009:H1013" si="101">F1009*G1009</f>
        <v>3.4930000000000003</v>
      </c>
    </row>
    <row r="1010" spans="2:10" ht="25.5">
      <c r="B1010" s="145">
        <v>20083</v>
      </c>
      <c r="C1010" s="98" t="s">
        <v>1583</v>
      </c>
      <c r="D1010" s="99" t="s">
        <v>401</v>
      </c>
      <c r="E1010" s="99" t="s">
        <v>37</v>
      </c>
      <c r="F1010" s="114" t="s">
        <v>1899</v>
      </c>
      <c r="G1010" s="95">
        <v>79.150000000000006</v>
      </c>
      <c r="H1010" s="147">
        <f t="shared" si="101"/>
        <v>5.5405000000000006</v>
      </c>
    </row>
    <row r="1011" spans="2:10">
      <c r="B1011" s="145">
        <v>38383</v>
      </c>
      <c r="C1011" s="98" t="s">
        <v>1581</v>
      </c>
      <c r="D1011" s="99" t="s">
        <v>401</v>
      </c>
      <c r="E1011" s="99" t="s">
        <v>37</v>
      </c>
      <c r="F1011" s="114" t="s">
        <v>1900</v>
      </c>
      <c r="G1011" s="95">
        <v>2.2799999999999998</v>
      </c>
      <c r="H1011" s="147">
        <f t="shared" si="101"/>
        <v>0.56999999999999995</v>
      </c>
    </row>
    <row r="1012" spans="2:10" ht="38.25">
      <c r="B1012" s="145" t="s">
        <v>1377</v>
      </c>
      <c r="C1012" s="98" t="s">
        <v>1378</v>
      </c>
      <c r="D1012" s="99" t="s">
        <v>12</v>
      </c>
      <c r="E1012" s="99" t="s">
        <v>1129</v>
      </c>
      <c r="F1012" s="114">
        <v>1.2</v>
      </c>
      <c r="G1012" s="95">
        <v>19.170000000000002</v>
      </c>
      <c r="H1012" s="147">
        <f t="shared" si="101"/>
        <v>23.004000000000001</v>
      </c>
    </row>
    <row r="1013" spans="2:10" ht="25.5">
      <c r="B1013" s="145" t="s">
        <v>1379</v>
      </c>
      <c r="C1013" s="98" t="s">
        <v>1380</v>
      </c>
      <c r="D1013" s="99" t="s">
        <v>12</v>
      </c>
      <c r="E1013" s="99" t="s">
        <v>1129</v>
      </c>
      <c r="F1013" s="114">
        <v>1.2</v>
      </c>
      <c r="G1013" s="95">
        <v>24.46</v>
      </c>
      <c r="H1013" s="147">
        <f t="shared" si="101"/>
        <v>29.352</v>
      </c>
    </row>
    <row r="1014" spans="2:10">
      <c r="B1014" s="674" t="s">
        <v>1232</v>
      </c>
      <c r="C1014" s="675"/>
      <c r="D1014" s="675"/>
      <c r="E1014" s="675"/>
      <c r="F1014" s="675"/>
      <c r="G1014" s="676"/>
      <c r="H1014" s="195">
        <f>SUM(H1008:H1013)</f>
        <v>202.60160400000001</v>
      </c>
    </row>
    <row r="1015" spans="2:10">
      <c r="B1015" s="677"/>
      <c r="C1015" s="678"/>
      <c r="D1015" s="678"/>
      <c r="E1015" s="678"/>
      <c r="F1015" s="678"/>
      <c r="G1015" s="678"/>
      <c r="H1015" s="679"/>
    </row>
    <row r="1016" spans="2:10" ht="25.5">
      <c r="B1016" s="139" t="s">
        <v>2072</v>
      </c>
      <c r="C1016" s="140" t="s">
        <v>1901</v>
      </c>
      <c r="D1016" s="141" t="s">
        <v>12</v>
      </c>
      <c r="E1016" s="141" t="s">
        <v>663</v>
      </c>
      <c r="F1016" s="194"/>
      <c r="G1016" s="143"/>
      <c r="H1016" s="144"/>
    </row>
    <row r="1017" spans="2:10" ht="25.5">
      <c r="B1017" s="145">
        <v>37106</v>
      </c>
      <c r="C1017" s="98" t="s">
        <v>2073</v>
      </c>
      <c r="D1017" s="99" t="s">
        <v>401</v>
      </c>
      <c r="E1017" s="99" t="s">
        <v>37</v>
      </c>
      <c r="F1017" s="114">
        <v>16</v>
      </c>
      <c r="G1017" s="95">
        <v>4978.04</v>
      </c>
      <c r="H1017" s="147">
        <f>F1017*G1017</f>
        <v>79648.639999999999</v>
      </c>
    </row>
    <row r="1018" spans="2:10" ht="25.5">
      <c r="B1018" s="145" t="s">
        <v>472</v>
      </c>
      <c r="C1018" s="98" t="s">
        <v>473</v>
      </c>
      <c r="D1018" s="99" t="s">
        <v>12</v>
      </c>
      <c r="E1018" s="99" t="s">
        <v>24</v>
      </c>
      <c r="F1018" s="114">
        <v>177.23813799999999</v>
      </c>
      <c r="G1018" s="95">
        <f>11.17*1.2217</f>
        <v>13.646388999999999</v>
      </c>
      <c r="H1018" s="147">
        <f t="shared" ref="H1018:H1038" si="102">F1018*G1018</f>
        <v>2418.6605767836818</v>
      </c>
    </row>
    <row r="1019" spans="2:10" ht="63.75">
      <c r="B1019" s="145" t="s">
        <v>829</v>
      </c>
      <c r="C1019" s="98" t="s">
        <v>830</v>
      </c>
      <c r="D1019" s="99" t="s">
        <v>401</v>
      </c>
      <c r="E1019" s="99" t="s">
        <v>37</v>
      </c>
      <c r="F1019" s="114">
        <v>1</v>
      </c>
      <c r="G1019" s="95">
        <v>2844.82</v>
      </c>
      <c r="H1019" s="147">
        <f t="shared" si="102"/>
        <v>2844.82</v>
      </c>
      <c r="J1019" s="352"/>
    </row>
    <row r="1020" spans="2:10" ht="38.25">
      <c r="B1020" s="145">
        <v>100</v>
      </c>
      <c r="C1020" s="98" t="s">
        <v>1902</v>
      </c>
      <c r="D1020" s="99" t="s">
        <v>401</v>
      </c>
      <c r="E1020" s="99" t="s">
        <v>37</v>
      </c>
      <c r="F1020" s="114">
        <v>32</v>
      </c>
      <c r="G1020" s="95">
        <v>43.56</v>
      </c>
      <c r="H1020" s="147">
        <f t="shared" si="102"/>
        <v>1393.92</v>
      </c>
    </row>
    <row r="1021" spans="2:10" ht="76.5">
      <c r="B1021" s="145">
        <v>10592</v>
      </c>
      <c r="C1021" s="98" t="s">
        <v>1903</v>
      </c>
      <c r="D1021" s="99" t="s">
        <v>401</v>
      </c>
      <c r="E1021" s="99" t="s">
        <v>37</v>
      </c>
      <c r="F1021" s="114">
        <v>2</v>
      </c>
      <c r="G1021" s="95">
        <v>3670</v>
      </c>
      <c r="H1021" s="147">
        <f t="shared" si="102"/>
        <v>7340</v>
      </c>
    </row>
    <row r="1022" spans="2:10" ht="51">
      <c r="B1022" s="145">
        <v>11767</v>
      </c>
      <c r="C1022" s="98" t="s">
        <v>1904</v>
      </c>
      <c r="D1022" s="99" t="s">
        <v>401</v>
      </c>
      <c r="E1022" s="99" t="s">
        <v>37</v>
      </c>
      <c r="F1022" s="114">
        <v>1</v>
      </c>
      <c r="G1022" s="95">
        <v>531.66</v>
      </c>
      <c r="H1022" s="147">
        <f t="shared" si="102"/>
        <v>531.66</v>
      </c>
    </row>
    <row r="1023" spans="2:10">
      <c r="B1023" s="145">
        <v>11849</v>
      </c>
      <c r="C1023" s="98" t="s">
        <v>2074</v>
      </c>
      <c r="D1023" s="99" t="s">
        <v>401</v>
      </c>
      <c r="E1023" s="99" t="s">
        <v>1294</v>
      </c>
      <c r="F1023" s="114">
        <v>7.9120400000000002</v>
      </c>
      <c r="G1023" s="95">
        <f>18.42*1.1325</f>
        <v>20.860650000000003</v>
      </c>
      <c r="H1023" s="147">
        <f t="shared" si="102"/>
        <v>165.05029722600003</v>
      </c>
    </row>
    <row r="1024" spans="2:10" ht="76.5">
      <c r="B1024" s="145" t="s">
        <v>2174</v>
      </c>
      <c r="C1024" s="98" t="s">
        <v>98</v>
      </c>
      <c r="D1024" s="99" t="s">
        <v>12</v>
      </c>
      <c r="E1024" s="99" t="s">
        <v>75</v>
      </c>
      <c r="F1024" s="114">
        <v>224.4</v>
      </c>
      <c r="G1024" s="95">
        <f>H94</f>
        <v>1.93608</v>
      </c>
      <c r="H1024" s="147">
        <f t="shared" si="102"/>
        <v>434.45635200000004</v>
      </c>
    </row>
    <row r="1025" spans="2:8" ht="25.5">
      <c r="B1025" s="145" t="s">
        <v>1625</v>
      </c>
      <c r="C1025" s="98" t="s">
        <v>1626</v>
      </c>
      <c r="D1025" s="99" t="s">
        <v>12</v>
      </c>
      <c r="E1025" s="99" t="s">
        <v>1129</v>
      </c>
      <c r="F1025" s="114">
        <v>8</v>
      </c>
      <c r="G1025" s="95">
        <v>19.84</v>
      </c>
      <c r="H1025" s="147">
        <f t="shared" si="102"/>
        <v>158.72</v>
      </c>
    </row>
    <row r="1026" spans="2:8" ht="38.25">
      <c r="B1026" s="145" t="s">
        <v>1377</v>
      </c>
      <c r="C1026" s="98" t="s">
        <v>1378</v>
      </c>
      <c r="D1026" s="99" t="s">
        <v>12</v>
      </c>
      <c r="E1026" s="99" t="s">
        <v>1129</v>
      </c>
      <c r="F1026" s="114" t="s">
        <v>1905</v>
      </c>
      <c r="G1026" s="95">
        <v>19.170000000000002</v>
      </c>
      <c r="H1026" s="147">
        <f t="shared" si="102"/>
        <v>8.6265000000000018</v>
      </c>
    </row>
    <row r="1027" spans="2:8" ht="25.5">
      <c r="B1027" s="145" t="s">
        <v>1627</v>
      </c>
      <c r="C1027" s="98" t="s">
        <v>1628</v>
      </c>
      <c r="D1027" s="99" t="s">
        <v>12</v>
      </c>
      <c r="E1027" s="99" t="s">
        <v>1129</v>
      </c>
      <c r="F1027" s="114">
        <v>8</v>
      </c>
      <c r="G1027" s="95">
        <v>25.32</v>
      </c>
      <c r="H1027" s="147">
        <f t="shared" si="102"/>
        <v>202.56</v>
      </c>
    </row>
    <row r="1028" spans="2:8" ht="25.5">
      <c r="B1028" s="145" t="s">
        <v>1379</v>
      </c>
      <c r="C1028" s="98" t="s">
        <v>1380</v>
      </c>
      <c r="D1028" s="99" t="s">
        <v>12</v>
      </c>
      <c r="E1028" s="99" t="s">
        <v>1129</v>
      </c>
      <c r="F1028" s="114">
        <v>32</v>
      </c>
      <c r="G1028" s="95">
        <v>24.46</v>
      </c>
      <c r="H1028" s="147">
        <f t="shared" si="102"/>
        <v>782.72</v>
      </c>
    </row>
    <row r="1029" spans="2:8" ht="25.5">
      <c r="B1029" s="145" t="s">
        <v>1338</v>
      </c>
      <c r="C1029" s="98" t="s">
        <v>1339</v>
      </c>
      <c r="D1029" s="99" t="s">
        <v>12</v>
      </c>
      <c r="E1029" s="99" t="s">
        <v>1129</v>
      </c>
      <c r="F1029" s="114">
        <v>32</v>
      </c>
      <c r="G1029" s="95">
        <v>25.07</v>
      </c>
      <c r="H1029" s="147">
        <f t="shared" si="102"/>
        <v>802.24</v>
      </c>
    </row>
    <row r="1030" spans="2:8" ht="25.5">
      <c r="B1030" s="145" t="s">
        <v>1286</v>
      </c>
      <c r="C1030" s="98" t="s">
        <v>1287</v>
      </c>
      <c r="D1030" s="99" t="s">
        <v>12</v>
      </c>
      <c r="E1030" s="99" t="s">
        <v>1129</v>
      </c>
      <c r="F1030" s="114">
        <v>96</v>
      </c>
      <c r="G1030" s="95">
        <v>18.649999999999999</v>
      </c>
      <c r="H1030" s="147">
        <f t="shared" si="102"/>
        <v>1790.3999999999999</v>
      </c>
    </row>
    <row r="1031" spans="2:8" ht="51">
      <c r="B1031" s="145" t="s">
        <v>552</v>
      </c>
      <c r="C1031" s="98" t="s">
        <v>553</v>
      </c>
      <c r="D1031" s="99" t="s">
        <v>12</v>
      </c>
      <c r="E1031" s="99" t="s">
        <v>24</v>
      </c>
      <c r="F1031" s="114">
        <v>1.2</v>
      </c>
      <c r="G1031" s="95">
        <v>65.5</v>
      </c>
      <c r="H1031" s="147">
        <f t="shared" si="102"/>
        <v>78.599999999999994</v>
      </c>
    </row>
    <row r="1032" spans="2:8" ht="38.25">
      <c r="B1032" s="145" t="s">
        <v>84</v>
      </c>
      <c r="C1032" s="98" t="s">
        <v>85</v>
      </c>
      <c r="D1032" s="99" t="s">
        <v>12</v>
      </c>
      <c r="E1032" s="99" t="s">
        <v>75</v>
      </c>
      <c r="F1032" s="114">
        <v>640</v>
      </c>
      <c r="G1032" s="95">
        <v>26.93</v>
      </c>
      <c r="H1032" s="147">
        <f t="shared" si="102"/>
        <v>17235.2</v>
      </c>
    </row>
    <row r="1033" spans="2:8" ht="51">
      <c r="B1033" s="145" t="s">
        <v>106</v>
      </c>
      <c r="C1033" s="98" t="s">
        <v>107</v>
      </c>
      <c r="D1033" s="99" t="s">
        <v>12</v>
      </c>
      <c r="E1033" s="99" t="s">
        <v>108</v>
      </c>
      <c r="F1033" s="114" t="s">
        <v>1906</v>
      </c>
      <c r="G1033" s="95">
        <v>0.65</v>
      </c>
      <c r="H1033" s="147">
        <f t="shared" si="102"/>
        <v>4659.2</v>
      </c>
    </row>
    <row r="1034" spans="2:8" ht="51">
      <c r="B1034" s="145" t="s">
        <v>2075</v>
      </c>
      <c r="C1034" s="98" t="s">
        <v>2076</v>
      </c>
      <c r="D1034" s="99" t="s">
        <v>12</v>
      </c>
      <c r="E1034" s="99" t="s">
        <v>75</v>
      </c>
      <c r="F1034" s="114">
        <v>16.34</v>
      </c>
      <c r="G1034" s="95">
        <v>265.72000000000003</v>
      </c>
      <c r="H1034" s="147">
        <f t="shared" si="102"/>
        <v>4341.8648000000003</v>
      </c>
    </row>
    <row r="1035" spans="2:8" ht="38.25">
      <c r="B1035" s="145" t="s">
        <v>1907</v>
      </c>
      <c r="C1035" s="98" t="s">
        <v>1908</v>
      </c>
      <c r="D1035" s="99" t="s">
        <v>12</v>
      </c>
      <c r="E1035" s="99" t="s">
        <v>75</v>
      </c>
      <c r="F1035" s="114">
        <v>921.84</v>
      </c>
      <c r="G1035" s="95">
        <v>33.04</v>
      </c>
      <c r="H1035" s="147">
        <f t="shared" si="102"/>
        <v>30457.5936</v>
      </c>
    </row>
    <row r="1036" spans="2:8" ht="25.5">
      <c r="B1036" s="145" t="s">
        <v>133</v>
      </c>
      <c r="C1036" s="98" t="s">
        <v>134</v>
      </c>
      <c r="D1036" s="99" t="s">
        <v>12</v>
      </c>
      <c r="E1036" s="99" t="s">
        <v>75</v>
      </c>
      <c r="F1036" s="114">
        <v>122</v>
      </c>
      <c r="G1036" s="95">
        <v>44.73</v>
      </c>
      <c r="H1036" s="147">
        <f t="shared" si="102"/>
        <v>5457.0599999999995</v>
      </c>
    </row>
    <row r="1037" spans="2:8" ht="25.5">
      <c r="B1037" s="145" t="s">
        <v>526</v>
      </c>
      <c r="C1037" s="98" t="s">
        <v>527</v>
      </c>
      <c r="D1037" s="99" t="s">
        <v>12</v>
      </c>
      <c r="E1037" s="99" t="s">
        <v>24</v>
      </c>
      <c r="F1037" s="114">
        <v>370.75</v>
      </c>
      <c r="G1037" s="95">
        <v>20.12</v>
      </c>
      <c r="H1037" s="147">
        <f t="shared" si="102"/>
        <v>7459.4900000000007</v>
      </c>
    </row>
    <row r="1038" spans="2:8" ht="25.5">
      <c r="B1038" s="145">
        <v>9870</v>
      </c>
      <c r="C1038" s="98" t="s">
        <v>1909</v>
      </c>
      <c r="D1038" s="99" t="s">
        <v>401</v>
      </c>
      <c r="E1038" s="99" t="s">
        <v>15</v>
      </c>
      <c r="F1038" s="114">
        <v>12</v>
      </c>
      <c r="G1038" s="95">
        <v>103.95</v>
      </c>
      <c r="H1038" s="147">
        <f t="shared" si="102"/>
        <v>1247.4000000000001</v>
      </c>
    </row>
    <row r="1039" spans="2:8">
      <c r="B1039" s="674" t="s">
        <v>1232</v>
      </c>
      <c r="C1039" s="675"/>
      <c r="D1039" s="675"/>
      <c r="E1039" s="675"/>
      <c r="F1039" s="675"/>
      <c r="G1039" s="676"/>
      <c r="H1039" s="195">
        <f>SUM(H1017:H1038)</f>
        <v>169458.88212600967</v>
      </c>
    </row>
    <row r="1040" spans="2:8">
      <c r="B1040" s="677"/>
      <c r="C1040" s="678"/>
      <c r="D1040" s="678"/>
      <c r="E1040" s="678"/>
      <c r="F1040" s="678"/>
      <c r="G1040" s="678"/>
      <c r="H1040" s="679"/>
    </row>
    <row r="1041" spans="2:8" ht="25.5">
      <c r="B1041" s="139" t="s">
        <v>2077</v>
      </c>
      <c r="C1041" s="140" t="s">
        <v>1910</v>
      </c>
      <c r="D1041" s="141" t="s">
        <v>12</v>
      </c>
      <c r="E1041" s="141" t="s">
        <v>15</v>
      </c>
      <c r="F1041" s="194"/>
      <c r="G1041" s="143"/>
      <c r="H1041" s="144"/>
    </row>
    <row r="1042" spans="2:8" ht="25.5">
      <c r="B1042" s="145" t="s">
        <v>472</v>
      </c>
      <c r="C1042" s="98" t="s">
        <v>473</v>
      </c>
      <c r="D1042" s="99" t="s">
        <v>12</v>
      </c>
      <c r="E1042" s="99" t="s">
        <v>24</v>
      </c>
      <c r="F1042" s="114">
        <v>3.3</v>
      </c>
      <c r="G1042" s="95">
        <f>11.17*1.2217</f>
        <v>13.646388999999999</v>
      </c>
      <c r="H1042" s="147">
        <f>F1042*G1042</f>
        <v>45.033083699999992</v>
      </c>
    </row>
    <row r="1043" spans="2:8" ht="51">
      <c r="B1043" s="145" t="s">
        <v>140</v>
      </c>
      <c r="C1043" s="98" t="s">
        <v>141</v>
      </c>
      <c r="D1043" s="99" t="s">
        <v>12</v>
      </c>
      <c r="E1043" s="99" t="s">
        <v>75</v>
      </c>
      <c r="F1043" s="114" t="s">
        <v>1911</v>
      </c>
      <c r="G1043" s="95">
        <v>175.93</v>
      </c>
      <c r="H1043" s="147">
        <f t="shared" ref="H1043:H1051" si="103">F1043*G1043</f>
        <v>98.520800000000008</v>
      </c>
    </row>
    <row r="1044" spans="2:8" ht="76.5">
      <c r="B1044" s="145">
        <v>38053</v>
      </c>
      <c r="C1044" s="98" t="s">
        <v>1912</v>
      </c>
      <c r="D1044" s="99" t="s">
        <v>401</v>
      </c>
      <c r="E1044" s="99" t="s">
        <v>15</v>
      </c>
      <c r="F1044" s="114">
        <v>2</v>
      </c>
      <c r="G1044" s="95">
        <v>23.56</v>
      </c>
      <c r="H1044" s="147">
        <f t="shared" si="103"/>
        <v>47.12</v>
      </c>
    </row>
    <row r="1045" spans="2:8" ht="38.25">
      <c r="B1045" s="145" t="s">
        <v>1377</v>
      </c>
      <c r="C1045" s="98" t="s">
        <v>1378</v>
      </c>
      <c r="D1045" s="99" t="s">
        <v>12</v>
      </c>
      <c r="E1045" s="99" t="s">
        <v>1129</v>
      </c>
      <c r="F1045" s="114" t="s">
        <v>1905</v>
      </c>
      <c r="G1045" s="95">
        <v>19.170000000000002</v>
      </c>
      <c r="H1045" s="147">
        <f t="shared" si="103"/>
        <v>8.6265000000000018</v>
      </c>
    </row>
    <row r="1046" spans="2:8" ht="25.5">
      <c r="B1046" s="145" t="s">
        <v>1379</v>
      </c>
      <c r="C1046" s="98" t="s">
        <v>1380</v>
      </c>
      <c r="D1046" s="99" t="s">
        <v>12</v>
      </c>
      <c r="E1046" s="99" t="s">
        <v>1129</v>
      </c>
      <c r="F1046" s="114" t="s">
        <v>1905</v>
      </c>
      <c r="G1046" s="95">
        <v>24.46</v>
      </c>
      <c r="H1046" s="147">
        <f t="shared" si="103"/>
        <v>11.007000000000001</v>
      </c>
    </row>
    <row r="1047" spans="2:8" ht="25.5">
      <c r="B1047" s="145" t="s">
        <v>1286</v>
      </c>
      <c r="C1047" s="98" t="s">
        <v>1287</v>
      </c>
      <c r="D1047" s="99" t="s">
        <v>12</v>
      </c>
      <c r="E1047" s="99" t="s">
        <v>1129</v>
      </c>
      <c r="F1047" s="114" t="s">
        <v>1913</v>
      </c>
      <c r="G1047" s="95">
        <v>18.649999999999999</v>
      </c>
      <c r="H1047" s="147">
        <f t="shared" si="103"/>
        <v>13.987499999999999</v>
      </c>
    </row>
    <row r="1048" spans="2:8" ht="51">
      <c r="B1048" s="145" t="s">
        <v>552</v>
      </c>
      <c r="C1048" s="98" t="s">
        <v>553</v>
      </c>
      <c r="D1048" s="99" t="s">
        <v>12</v>
      </c>
      <c r="E1048" s="99" t="s">
        <v>24</v>
      </c>
      <c r="F1048" s="114">
        <v>1.2</v>
      </c>
      <c r="G1048" s="95">
        <v>65.5</v>
      </c>
      <c r="H1048" s="147">
        <f t="shared" si="103"/>
        <v>78.599999999999994</v>
      </c>
    </row>
    <row r="1049" spans="2:8" ht="38.25">
      <c r="B1049" s="145" t="s">
        <v>84</v>
      </c>
      <c r="C1049" s="98" t="s">
        <v>85</v>
      </c>
      <c r="D1049" s="99" t="s">
        <v>12</v>
      </c>
      <c r="E1049" s="99" t="s">
        <v>75</v>
      </c>
      <c r="F1049" s="114">
        <v>1.28</v>
      </c>
      <c r="G1049" s="95">
        <v>26.93</v>
      </c>
      <c r="H1049" s="147">
        <f t="shared" si="103"/>
        <v>34.470399999999998</v>
      </c>
    </row>
    <row r="1050" spans="2:8" ht="38.25">
      <c r="B1050" s="145" t="s">
        <v>1907</v>
      </c>
      <c r="C1050" s="98" t="s">
        <v>1908</v>
      </c>
      <c r="D1050" s="99" t="s">
        <v>12</v>
      </c>
      <c r="E1050" s="99" t="s">
        <v>75</v>
      </c>
      <c r="F1050" s="114">
        <v>1.83</v>
      </c>
      <c r="G1050" s="95">
        <v>33.04</v>
      </c>
      <c r="H1050" s="147">
        <f t="shared" si="103"/>
        <v>60.463200000000001</v>
      </c>
    </row>
    <row r="1051" spans="2:8" ht="25.5">
      <c r="B1051" s="145" t="s">
        <v>526</v>
      </c>
      <c r="C1051" s="98" t="s">
        <v>527</v>
      </c>
      <c r="D1051" s="99" t="s">
        <v>12</v>
      </c>
      <c r="E1051" s="99" t="s">
        <v>24</v>
      </c>
      <c r="F1051" s="114" t="s">
        <v>1913</v>
      </c>
      <c r="G1051" s="95">
        <v>20.12</v>
      </c>
      <c r="H1051" s="147">
        <f t="shared" si="103"/>
        <v>15.09</v>
      </c>
    </row>
    <row r="1052" spans="2:8">
      <c r="B1052" s="674" t="s">
        <v>1232</v>
      </c>
      <c r="C1052" s="675"/>
      <c r="D1052" s="675"/>
      <c r="E1052" s="675"/>
      <c r="F1052" s="675"/>
      <c r="G1052" s="676"/>
      <c r="H1052" s="195">
        <f>SUM(H1042:H1051)</f>
        <v>412.91848369999997</v>
      </c>
    </row>
    <row r="1053" spans="2:8">
      <c r="B1053" s="677"/>
      <c r="C1053" s="678"/>
      <c r="D1053" s="678"/>
      <c r="E1053" s="678"/>
      <c r="F1053" s="678"/>
      <c r="G1053" s="678"/>
      <c r="H1053" s="679"/>
    </row>
    <row r="1054" spans="2:8" ht="25.5">
      <c r="B1054" s="139" t="s">
        <v>2078</v>
      </c>
      <c r="C1054" s="140" t="s">
        <v>1914</v>
      </c>
      <c r="D1054" s="141" t="s">
        <v>12</v>
      </c>
      <c r="E1054" s="141" t="s">
        <v>37</v>
      </c>
      <c r="F1054" s="194"/>
      <c r="G1054" s="143"/>
      <c r="H1054" s="144"/>
    </row>
    <row r="1055" spans="2:8" ht="51">
      <c r="B1055" s="145" t="s">
        <v>2079</v>
      </c>
      <c r="C1055" s="98" t="s">
        <v>2080</v>
      </c>
      <c r="D1055" s="99" t="s">
        <v>12</v>
      </c>
      <c r="E1055" s="99" t="s">
        <v>75</v>
      </c>
      <c r="F1055" s="114" t="s">
        <v>1915</v>
      </c>
      <c r="G1055" s="95">
        <v>478.45</v>
      </c>
      <c r="H1055" s="147">
        <f>F1055*G1055</f>
        <v>76.552000000000007</v>
      </c>
    </row>
    <row r="1056" spans="2:8" ht="38.25">
      <c r="B1056" s="145">
        <v>14112</v>
      </c>
      <c r="C1056" s="98" t="s">
        <v>1652</v>
      </c>
      <c r="D1056" s="99" t="s">
        <v>401</v>
      </c>
      <c r="E1056" s="99" t="s">
        <v>37</v>
      </c>
      <c r="F1056" s="114">
        <v>1</v>
      </c>
      <c r="G1056" s="95">
        <v>337.67</v>
      </c>
      <c r="H1056" s="147">
        <f t="shared" ref="H1056:H1061" si="104">F1056*G1056</f>
        <v>337.67</v>
      </c>
    </row>
    <row r="1057" spans="1:45" ht="51">
      <c r="B1057" s="145">
        <v>3103302</v>
      </c>
      <c r="C1057" s="98" t="s">
        <v>1916</v>
      </c>
      <c r="D1057" s="99" t="s">
        <v>12</v>
      </c>
      <c r="E1057" s="99" t="s">
        <v>24</v>
      </c>
      <c r="F1057" s="114" t="s">
        <v>1917</v>
      </c>
      <c r="G1057" s="95">
        <f>49.2*1.2217</f>
        <v>60.107640000000004</v>
      </c>
      <c r="H1057" s="147">
        <f t="shared" si="104"/>
        <v>48.086112000000007</v>
      </c>
    </row>
    <row r="1058" spans="1:45" ht="51">
      <c r="B1058" s="145">
        <v>35277</v>
      </c>
      <c r="C1058" s="98" t="s">
        <v>1918</v>
      </c>
      <c r="D1058" s="99" t="s">
        <v>401</v>
      </c>
      <c r="E1058" s="99" t="s">
        <v>37</v>
      </c>
      <c r="F1058" s="114">
        <v>1</v>
      </c>
      <c r="G1058" s="95">
        <v>414.09</v>
      </c>
      <c r="H1058" s="147">
        <f t="shared" si="104"/>
        <v>414.09</v>
      </c>
    </row>
    <row r="1059" spans="1:45" ht="38.25">
      <c r="B1059" s="145" t="s">
        <v>1377</v>
      </c>
      <c r="C1059" s="98" t="s">
        <v>1378</v>
      </c>
      <c r="D1059" s="99" t="s">
        <v>12</v>
      </c>
      <c r="E1059" s="99" t="s">
        <v>1129</v>
      </c>
      <c r="F1059" s="114">
        <v>1</v>
      </c>
      <c r="G1059" s="95">
        <v>19.170000000000002</v>
      </c>
      <c r="H1059" s="147">
        <f t="shared" si="104"/>
        <v>19.170000000000002</v>
      </c>
    </row>
    <row r="1060" spans="1:45" ht="25.5">
      <c r="B1060" s="145" t="s">
        <v>1379</v>
      </c>
      <c r="C1060" s="98" t="s">
        <v>1380</v>
      </c>
      <c r="D1060" s="99" t="s">
        <v>12</v>
      </c>
      <c r="E1060" s="99" t="s">
        <v>1129</v>
      </c>
      <c r="F1060" s="114" t="s">
        <v>1919</v>
      </c>
      <c r="G1060" s="95">
        <v>24.46</v>
      </c>
      <c r="H1060" s="147">
        <f t="shared" si="104"/>
        <v>12.23</v>
      </c>
    </row>
    <row r="1061" spans="1:45" ht="25.5">
      <c r="B1061" s="145"/>
      <c r="C1061" s="98" t="s">
        <v>1920</v>
      </c>
      <c r="D1061" s="99" t="s">
        <v>12</v>
      </c>
      <c r="E1061" s="99" t="s">
        <v>112</v>
      </c>
      <c r="F1061" s="114">
        <v>4.2</v>
      </c>
      <c r="G1061" s="95">
        <f>7.61*1.2217</f>
        <v>9.2971370000000011</v>
      </c>
      <c r="H1061" s="147">
        <f t="shared" si="104"/>
        <v>39.047975400000006</v>
      </c>
    </row>
    <row r="1062" spans="1:45" s="172" customFormat="1">
      <c r="A1062" s="317"/>
      <c r="B1062" s="674" t="s">
        <v>1232</v>
      </c>
      <c r="C1062" s="675"/>
      <c r="D1062" s="675"/>
      <c r="E1062" s="675"/>
      <c r="F1062" s="675"/>
      <c r="G1062" s="676"/>
      <c r="H1062" s="195">
        <f>SUM(H1055:H1061)</f>
        <v>946.8460874000001</v>
      </c>
      <c r="I1062" s="317"/>
      <c r="J1062" s="317"/>
      <c r="K1062" s="317"/>
      <c r="L1062" s="317"/>
      <c r="M1062" s="317"/>
      <c r="N1062" s="317"/>
      <c r="O1062" s="317"/>
      <c r="P1062" s="317"/>
      <c r="Q1062" s="317"/>
      <c r="R1062" s="317"/>
      <c r="S1062" s="317"/>
      <c r="T1062" s="317"/>
      <c r="U1062" s="317"/>
      <c r="V1062" s="317"/>
      <c r="W1062" s="317"/>
      <c r="X1062" s="317"/>
      <c r="Y1062" s="317"/>
      <c r="Z1062" s="317"/>
      <c r="AA1062" s="317"/>
      <c r="AB1062" s="317"/>
      <c r="AC1062" s="317"/>
      <c r="AD1062" s="317"/>
      <c r="AE1062" s="317"/>
      <c r="AF1062" s="317"/>
      <c r="AG1062" s="317"/>
      <c r="AH1062" s="317"/>
      <c r="AI1062" s="317"/>
      <c r="AJ1062" s="317"/>
      <c r="AK1062" s="317"/>
      <c r="AL1062" s="317"/>
      <c r="AM1062" s="317"/>
      <c r="AN1062" s="317"/>
      <c r="AO1062" s="317"/>
      <c r="AP1062" s="317"/>
      <c r="AQ1062" s="317"/>
      <c r="AR1062" s="317"/>
      <c r="AS1062" s="317"/>
    </row>
    <row r="1063" spans="1:45" s="172" customFormat="1">
      <c r="A1063" s="317"/>
      <c r="B1063" s="677"/>
      <c r="C1063" s="678"/>
      <c r="D1063" s="678"/>
      <c r="E1063" s="678"/>
      <c r="F1063" s="678"/>
      <c r="G1063" s="678"/>
      <c r="H1063" s="679"/>
      <c r="I1063" s="317"/>
      <c r="J1063" s="317"/>
      <c r="K1063" s="317"/>
      <c r="L1063" s="317"/>
      <c r="M1063" s="317"/>
      <c r="N1063" s="317"/>
      <c r="O1063" s="317"/>
      <c r="P1063" s="317"/>
      <c r="Q1063" s="317"/>
      <c r="R1063" s="317"/>
      <c r="S1063" s="317"/>
      <c r="T1063" s="317"/>
      <c r="U1063" s="317"/>
      <c r="V1063" s="317"/>
      <c r="W1063" s="317"/>
      <c r="X1063" s="317"/>
      <c r="Y1063" s="317"/>
      <c r="Z1063" s="317"/>
      <c r="AA1063" s="317"/>
      <c r="AB1063" s="317"/>
      <c r="AC1063" s="317"/>
      <c r="AD1063" s="317"/>
      <c r="AE1063" s="317"/>
      <c r="AF1063" s="317"/>
      <c r="AG1063" s="317"/>
      <c r="AH1063" s="317"/>
      <c r="AI1063" s="317"/>
      <c r="AJ1063" s="317"/>
      <c r="AK1063" s="317"/>
      <c r="AL1063" s="317"/>
      <c r="AM1063" s="317"/>
      <c r="AN1063" s="317"/>
      <c r="AO1063" s="317"/>
      <c r="AP1063" s="317"/>
      <c r="AQ1063" s="317"/>
      <c r="AR1063" s="317"/>
      <c r="AS1063" s="317"/>
    </row>
    <row r="1064" spans="1:45" ht="38.25">
      <c r="B1064" s="139" t="s">
        <v>2081</v>
      </c>
      <c r="C1064" s="140" t="s">
        <v>1921</v>
      </c>
      <c r="D1064" s="141" t="s">
        <v>12</v>
      </c>
      <c r="E1064" s="141" t="s">
        <v>15</v>
      </c>
      <c r="F1064" s="194"/>
      <c r="G1064" s="143"/>
      <c r="H1064" s="144"/>
    </row>
    <row r="1065" spans="1:45">
      <c r="B1065" s="145">
        <v>88239</v>
      </c>
      <c r="C1065" s="98" t="s">
        <v>1922</v>
      </c>
      <c r="D1065" s="99" t="s">
        <v>1229</v>
      </c>
      <c r="E1065" s="99" t="s">
        <v>1129</v>
      </c>
      <c r="F1065" s="114">
        <v>1.45</v>
      </c>
      <c r="G1065" s="95">
        <v>21</v>
      </c>
      <c r="H1065" s="147">
        <f>F1065*G1065</f>
        <v>30.45</v>
      </c>
    </row>
    <row r="1066" spans="1:45">
      <c r="B1066" s="145">
        <v>88262</v>
      </c>
      <c r="C1066" s="98" t="s">
        <v>1244</v>
      </c>
      <c r="D1066" s="99" t="s">
        <v>1229</v>
      </c>
      <c r="E1066" s="99" t="s">
        <v>1129</v>
      </c>
      <c r="F1066" s="114">
        <v>1.45</v>
      </c>
      <c r="G1066" s="95">
        <v>24.81</v>
      </c>
      <c r="H1066" s="147">
        <f t="shared" ref="H1066:H1072" si="105">F1066*G1066</f>
        <v>35.974499999999999</v>
      </c>
    </row>
    <row r="1067" spans="1:45">
      <c r="B1067" s="145">
        <v>88309</v>
      </c>
      <c r="C1067" s="98" t="s">
        <v>1246</v>
      </c>
      <c r="D1067" s="99" t="s">
        <v>1229</v>
      </c>
      <c r="E1067" s="99" t="s">
        <v>1129</v>
      </c>
      <c r="F1067" s="114" t="s">
        <v>1923</v>
      </c>
      <c r="G1067" s="95">
        <v>25.07</v>
      </c>
      <c r="H1067" s="147">
        <f t="shared" si="105"/>
        <v>13.287100000000001</v>
      </c>
    </row>
    <row r="1068" spans="1:45">
      <c r="B1068" s="145">
        <v>88316</v>
      </c>
      <c r="C1068" s="98" t="s">
        <v>1247</v>
      </c>
      <c r="D1068" s="99" t="s">
        <v>1229</v>
      </c>
      <c r="E1068" s="99" t="s">
        <v>1129</v>
      </c>
      <c r="F1068" s="114">
        <v>2.27</v>
      </c>
      <c r="G1068" s="95">
        <v>18.649999999999999</v>
      </c>
      <c r="H1068" s="147">
        <f t="shared" si="105"/>
        <v>42.335499999999996</v>
      </c>
    </row>
    <row r="1069" spans="1:45" ht="38.25">
      <c r="B1069" s="145" t="s">
        <v>2082</v>
      </c>
      <c r="C1069" s="98" t="s">
        <v>2083</v>
      </c>
      <c r="D1069" s="99" t="s">
        <v>12</v>
      </c>
      <c r="E1069" s="99" t="s">
        <v>75</v>
      </c>
      <c r="F1069" s="114" t="s">
        <v>1924</v>
      </c>
      <c r="G1069" s="95">
        <v>464.56</v>
      </c>
      <c r="H1069" s="147">
        <f t="shared" si="105"/>
        <v>41.810400000000001</v>
      </c>
    </row>
    <row r="1070" spans="1:45" ht="25.5">
      <c r="B1070" s="145">
        <v>1355</v>
      </c>
      <c r="C1070" s="98" t="s">
        <v>2084</v>
      </c>
      <c r="D1070" s="99" t="s">
        <v>401</v>
      </c>
      <c r="E1070" s="99" t="s">
        <v>24</v>
      </c>
      <c r="F1070" s="114">
        <v>1.7</v>
      </c>
      <c r="G1070" s="95">
        <v>46.75</v>
      </c>
      <c r="H1070" s="147">
        <f t="shared" si="105"/>
        <v>79.474999999999994</v>
      </c>
    </row>
    <row r="1071" spans="1:45" ht="25.5">
      <c r="B1071" s="145">
        <v>4512</v>
      </c>
      <c r="C1071" s="98" t="s">
        <v>2085</v>
      </c>
      <c r="D1071" s="99" t="s">
        <v>401</v>
      </c>
      <c r="E1071" s="99" t="s">
        <v>15</v>
      </c>
      <c r="F1071" s="114">
        <v>5.8</v>
      </c>
      <c r="G1071" s="95">
        <v>1.98</v>
      </c>
      <c r="H1071" s="147">
        <f t="shared" si="105"/>
        <v>11.484</v>
      </c>
    </row>
    <row r="1072" spans="1:45" ht="25.5">
      <c r="B1072" s="145">
        <v>5067</v>
      </c>
      <c r="C1072" s="98" t="s">
        <v>2086</v>
      </c>
      <c r="D1072" s="99" t="s">
        <v>401</v>
      </c>
      <c r="E1072" s="99" t="s">
        <v>112</v>
      </c>
      <c r="F1072" s="114" t="s">
        <v>1925</v>
      </c>
      <c r="G1072" s="95">
        <v>25.91</v>
      </c>
      <c r="H1072" s="147">
        <f t="shared" si="105"/>
        <v>6.7366000000000001</v>
      </c>
    </row>
    <row r="1073" spans="1:45" s="172" customFormat="1">
      <c r="A1073" s="317"/>
      <c r="B1073" s="674" t="s">
        <v>1232</v>
      </c>
      <c r="C1073" s="675"/>
      <c r="D1073" s="675"/>
      <c r="E1073" s="675"/>
      <c r="F1073" s="675"/>
      <c r="G1073" s="676"/>
      <c r="H1073" s="195">
        <f>SUM(H1065:H1072)</f>
        <v>261.55309999999997</v>
      </c>
      <c r="I1073" s="317"/>
      <c r="J1073" s="317"/>
      <c r="K1073" s="317"/>
      <c r="L1073" s="317"/>
      <c r="M1073" s="317"/>
      <c r="N1073" s="317"/>
      <c r="O1073" s="317"/>
      <c r="P1073" s="317"/>
      <c r="Q1073" s="317"/>
      <c r="R1073" s="317"/>
      <c r="S1073" s="317"/>
      <c r="T1073" s="317"/>
      <c r="U1073" s="317"/>
      <c r="V1073" s="317"/>
      <c r="W1073" s="317"/>
      <c r="X1073" s="317"/>
      <c r="Y1073" s="317"/>
      <c r="Z1073" s="317"/>
      <c r="AA1073" s="317"/>
      <c r="AB1073" s="317"/>
      <c r="AC1073" s="317"/>
      <c r="AD1073" s="317"/>
      <c r="AE1073" s="317"/>
      <c r="AF1073" s="317"/>
      <c r="AG1073" s="317"/>
      <c r="AH1073" s="317"/>
      <c r="AI1073" s="317"/>
      <c r="AJ1073" s="317"/>
      <c r="AK1073" s="317"/>
      <c r="AL1073" s="317"/>
      <c r="AM1073" s="317"/>
      <c r="AN1073" s="317"/>
      <c r="AO1073" s="317"/>
      <c r="AP1073" s="317"/>
      <c r="AQ1073" s="317"/>
      <c r="AR1073" s="317"/>
      <c r="AS1073" s="317"/>
    </row>
    <row r="1074" spans="1:45" s="172" customFormat="1">
      <c r="A1074" s="317"/>
      <c r="B1074" s="677"/>
      <c r="C1074" s="678"/>
      <c r="D1074" s="678"/>
      <c r="E1074" s="678"/>
      <c r="F1074" s="678"/>
      <c r="G1074" s="678"/>
      <c r="H1074" s="679"/>
      <c r="I1074" s="317"/>
      <c r="J1074" s="317"/>
      <c r="K1074" s="317"/>
      <c r="L1074" s="317"/>
      <c r="M1074" s="317"/>
      <c r="N1074" s="317"/>
      <c r="O1074" s="317"/>
      <c r="P1074" s="317"/>
      <c r="Q1074" s="317"/>
      <c r="R1074" s="317"/>
      <c r="S1074" s="317"/>
      <c r="T1074" s="317"/>
      <c r="U1074" s="317"/>
      <c r="V1074" s="317"/>
      <c r="W1074" s="317"/>
      <c r="X1074" s="317"/>
      <c r="Y1074" s="317"/>
      <c r="Z1074" s="317"/>
      <c r="AA1074" s="317"/>
      <c r="AB1074" s="317"/>
      <c r="AC1074" s="317"/>
      <c r="AD1074" s="317"/>
      <c r="AE1074" s="317"/>
      <c r="AF1074" s="317"/>
      <c r="AG1074" s="317"/>
      <c r="AH1074" s="317"/>
      <c r="AI1074" s="317"/>
      <c r="AJ1074" s="317"/>
      <c r="AK1074" s="317"/>
      <c r="AL1074" s="317"/>
      <c r="AM1074" s="317"/>
      <c r="AN1074" s="317"/>
      <c r="AO1074" s="317"/>
      <c r="AP1074" s="317"/>
      <c r="AQ1074" s="317"/>
      <c r="AR1074" s="317"/>
      <c r="AS1074" s="317"/>
    </row>
    <row r="1075" spans="1:45" ht="63.75">
      <c r="B1075" s="139" t="s">
        <v>2087</v>
      </c>
      <c r="C1075" s="140" t="s">
        <v>1926</v>
      </c>
      <c r="D1075" s="141" t="s">
        <v>12</v>
      </c>
      <c r="E1075" s="141" t="s">
        <v>37</v>
      </c>
      <c r="F1075" s="194"/>
      <c r="G1075" s="143"/>
      <c r="H1075" s="144"/>
    </row>
    <row r="1076" spans="1:45" ht="51">
      <c r="B1076" s="145">
        <v>11245</v>
      </c>
      <c r="C1076" s="98" t="s">
        <v>1927</v>
      </c>
      <c r="D1076" s="99" t="s">
        <v>401</v>
      </c>
      <c r="E1076" s="99" t="s">
        <v>37</v>
      </c>
      <c r="F1076" s="114">
        <v>1</v>
      </c>
      <c r="G1076" s="95">
        <v>404.65</v>
      </c>
      <c r="H1076" s="147">
        <f>F1076*G1076</f>
        <v>404.65</v>
      </c>
    </row>
    <row r="1077" spans="1:45" ht="63.75">
      <c r="B1077" s="145" t="s">
        <v>1633</v>
      </c>
      <c r="C1077" s="98" t="s">
        <v>1634</v>
      </c>
      <c r="D1077" s="99" t="s">
        <v>12</v>
      </c>
      <c r="E1077" s="99" t="s">
        <v>75</v>
      </c>
      <c r="F1077" s="114" t="s">
        <v>1928</v>
      </c>
      <c r="G1077" s="95">
        <v>447.28</v>
      </c>
      <c r="H1077" s="147">
        <f t="shared" ref="H1077:H1079" si="106">F1077*G1077</f>
        <v>3.5782399999999996</v>
      </c>
    </row>
    <row r="1078" spans="1:45" ht="25.5">
      <c r="B1078" s="145" t="s">
        <v>1338</v>
      </c>
      <c r="C1078" s="98" t="s">
        <v>1339</v>
      </c>
      <c r="D1078" s="99" t="s">
        <v>12</v>
      </c>
      <c r="E1078" s="99" t="s">
        <v>1129</v>
      </c>
      <c r="F1078" s="114">
        <v>2.6</v>
      </c>
      <c r="G1078" s="95">
        <v>25.07</v>
      </c>
      <c r="H1078" s="147">
        <f t="shared" si="106"/>
        <v>65.182000000000002</v>
      </c>
    </row>
    <row r="1079" spans="1:45" ht="25.5">
      <c r="B1079" s="145" t="s">
        <v>1286</v>
      </c>
      <c r="C1079" s="98" t="s">
        <v>1287</v>
      </c>
      <c r="D1079" s="99" t="s">
        <v>12</v>
      </c>
      <c r="E1079" s="99" t="s">
        <v>1129</v>
      </c>
      <c r="F1079" s="114">
        <v>2.65</v>
      </c>
      <c r="G1079" s="95">
        <v>18.649999999999999</v>
      </c>
      <c r="H1079" s="147">
        <f t="shared" si="106"/>
        <v>49.422499999999992</v>
      </c>
    </row>
    <row r="1080" spans="1:45">
      <c r="B1080" s="674" t="s">
        <v>1232</v>
      </c>
      <c r="C1080" s="675"/>
      <c r="D1080" s="675"/>
      <c r="E1080" s="675"/>
      <c r="F1080" s="675"/>
      <c r="G1080" s="676"/>
      <c r="H1080" s="195">
        <f>SUM(H1076:H1079)</f>
        <v>522.83273999999994</v>
      </c>
    </row>
    <row r="1081" spans="1:45">
      <c r="B1081" s="659"/>
      <c r="C1081" s="660"/>
      <c r="D1081" s="660"/>
      <c r="E1081" s="660"/>
      <c r="F1081" s="660"/>
      <c r="G1081" s="660"/>
      <c r="H1081" s="660"/>
    </row>
    <row r="1082" spans="1:45" ht="25.5">
      <c r="B1082" s="139" t="s">
        <v>2088</v>
      </c>
      <c r="C1082" s="140" t="s">
        <v>725</v>
      </c>
      <c r="D1082" s="141" t="s">
        <v>12</v>
      </c>
      <c r="E1082" s="141" t="s">
        <v>37</v>
      </c>
      <c r="F1082" s="142"/>
      <c r="G1082" s="143"/>
      <c r="H1082" s="144"/>
    </row>
    <row r="1083" spans="1:45">
      <c r="B1083" s="145">
        <v>88248</v>
      </c>
      <c r="C1083" s="98" t="s">
        <v>1243</v>
      </c>
      <c r="D1083" s="99" t="s">
        <v>1229</v>
      </c>
      <c r="E1083" s="99" t="s">
        <v>1129</v>
      </c>
      <c r="F1083" s="94" t="s">
        <v>1620</v>
      </c>
      <c r="G1083" s="95">
        <v>19.170000000000002</v>
      </c>
      <c r="H1083" s="147">
        <f>F1083*G1083</f>
        <v>4.4091000000000005</v>
      </c>
    </row>
    <row r="1084" spans="1:45">
      <c r="B1084" s="145">
        <v>88267</v>
      </c>
      <c r="C1084" s="98" t="s">
        <v>1245</v>
      </c>
      <c r="D1084" s="99" t="s">
        <v>1229</v>
      </c>
      <c r="E1084" s="99" t="s">
        <v>1129</v>
      </c>
      <c r="F1084" s="94" t="s">
        <v>1620</v>
      </c>
      <c r="G1084" s="95">
        <v>24.46</v>
      </c>
      <c r="H1084" s="147">
        <f t="shared" ref="H1084:H1087" si="107">F1084*G1084</f>
        <v>5.6258000000000008</v>
      </c>
    </row>
    <row r="1085" spans="1:45">
      <c r="B1085" s="145">
        <v>20083</v>
      </c>
      <c r="C1085" s="98" t="s">
        <v>1586</v>
      </c>
      <c r="D1085" s="99" t="s">
        <v>401</v>
      </c>
      <c r="E1085" s="99" t="s">
        <v>1294</v>
      </c>
      <c r="F1085" s="94" t="s">
        <v>1501</v>
      </c>
      <c r="G1085" s="95">
        <v>79.150000000000006</v>
      </c>
      <c r="H1085" s="147">
        <f t="shared" si="107"/>
        <v>5.6988000000000003</v>
      </c>
    </row>
    <row r="1086" spans="1:45" ht="25.5">
      <c r="B1086" s="145">
        <v>827</v>
      </c>
      <c r="C1086" s="98" t="s">
        <v>725</v>
      </c>
      <c r="D1086" s="99" t="s">
        <v>401</v>
      </c>
      <c r="E1086" s="99" t="s">
        <v>37</v>
      </c>
      <c r="F1086" s="94">
        <v>1.0150165440000001</v>
      </c>
      <c r="G1086" s="95">
        <v>46.65</v>
      </c>
      <c r="H1086" s="147">
        <f t="shared" si="107"/>
        <v>47.350521777600001</v>
      </c>
    </row>
    <row r="1087" spans="1:45">
      <c r="B1087" s="145">
        <v>122</v>
      </c>
      <c r="C1087" s="98" t="s">
        <v>1253</v>
      </c>
      <c r="D1087" s="99" t="s">
        <v>401</v>
      </c>
      <c r="E1087" s="99" t="s">
        <v>112</v>
      </c>
      <c r="F1087" s="94">
        <v>3.0263838000000001E-2</v>
      </c>
      <c r="G1087" s="95">
        <v>69.86</v>
      </c>
      <c r="H1087" s="147">
        <f t="shared" si="107"/>
        <v>2.11423172268</v>
      </c>
    </row>
    <row r="1088" spans="1:45">
      <c r="B1088" s="630" t="s">
        <v>1232</v>
      </c>
      <c r="C1088" s="631"/>
      <c r="D1088" s="631"/>
      <c r="E1088" s="631"/>
      <c r="F1088" s="631"/>
      <c r="G1088" s="632"/>
      <c r="H1088" s="148">
        <f>SUM(H1083:H1087)</f>
        <v>65.198453500279996</v>
      </c>
    </row>
    <row r="1089" spans="2:8">
      <c r="B1089" s="621"/>
      <c r="C1089" s="622"/>
      <c r="D1089" s="622"/>
      <c r="E1089" s="622"/>
      <c r="F1089" s="622"/>
      <c r="G1089" s="622"/>
      <c r="H1089" s="623"/>
    </row>
    <row r="1090" spans="2:8" ht="25.5">
      <c r="B1090" s="139" t="s">
        <v>2089</v>
      </c>
      <c r="C1090" s="140" t="s">
        <v>726</v>
      </c>
      <c r="D1090" s="141" t="s">
        <v>12</v>
      </c>
      <c r="E1090" s="141" t="s">
        <v>37</v>
      </c>
      <c r="F1090" s="142"/>
      <c r="G1090" s="143"/>
      <c r="H1090" s="144"/>
    </row>
    <row r="1091" spans="2:8" ht="25.5">
      <c r="B1091" s="145">
        <v>1200</v>
      </c>
      <c r="C1091" s="98" t="s">
        <v>1635</v>
      </c>
      <c r="D1091" s="99" t="s">
        <v>401</v>
      </c>
      <c r="E1091" s="99" t="s">
        <v>37</v>
      </c>
      <c r="F1091" s="94">
        <v>1</v>
      </c>
      <c r="G1091" s="95">
        <v>10.53</v>
      </c>
      <c r="H1091" s="147">
        <f>F1091*G1091</f>
        <v>10.53</v>
      </c>
    </row>
    <row r="1092" spans="2:8" ht="25.5">
      <c r="B1092" s="145">
        <v>122</v>
      </c>
      <c r="C1092" s="98" t="s">
        <v>1602</v>
      </c>
      <c r="D1092" s="99" t="s">
        <v>401</v>
      </c>
      <c r="E1092" s="99" t="s">
        <v>37</v>
      </c>
      <c r="F1092" s="94" t="s">
        <v>1332</v>
      </c>
      <c r="G1092" s="95">
        <v>69.86</v>
      </c>
      <c r="H1092" s="147">
        <f t="shared" ref="H1092:H1095" si="108">F1092*G1092</f>
        <v>1.3972</v>
      </c>
    </row>
    <row r="1093" spans="2:8" ht="25.5">
      <c r="B1093" s="145">
        <v>20083</v>
      </c>
      <c r="C1093" s="98" t="s">
        <v>1583</v>
      </c>
      <c r="D1093" s="99" t="s">
        <v>401</v>
      </c>
      <c r="E1093" s="99" t="s">
        <v>37</v>
      </c>
      <c r="F1093" s="94" t="s">
        <v>1376</v>
      </c>
      <c r="G1093" s="95">
        <v>79.150000000000006</v>
      </c>
      <c r="H1093" s="147">
        <f t="shared" si="108"/>
        <v>1.1872500000000001</v>
      </c>
    </row>
    <row r="1094" spans="2:8" ht="25.5">
      <c r="B1094" s="145" t="s">
        <v>1379</v>
      </c>
      <c r="C1094" s="98" t="s">
        <v>1380</v>
      </c>
      <c r="D1094" s="99" t="s">
        <v>12</v>
      </c>
      <c r="E1094" s="99" t="s">
        <v>1129</v>
      </c>
      <c r="F1094" s="94" t="s">
        <v>1285</v>
      </c>
      <c r="G1094" s="95">
        <v>24.46</v>
      </c>
      <c r="H1094" s="147">
        <f t="shared" si="108"/>
        <v>2.6906000000000003</v>
      </c>
    </row>
    <row r="1095" spans="2:8" ht="25.5">
      <c r="B1095" s="145" t="s">
        <v>1286</v>
      </c>
      <c r="C1095" s="98" t="s">
        <v>1287</v>
      </c>
      <c r="D1095" s="99" t="s">
        <v>12</v>
      </c>
      <c r="E1095" s="99" t="s">
        <v>1129</v>
      </c>
      <c r="F1095" s="94" t="s">
        <v>1285</v>
      </c>
      <c r="G1095" s="95">
        <v>18.649999999999999</v>
      </c>
      <c r="H1095" s="147">
        <f t="shared" si="108"/>
        <v>2.0514999999999999</v>
      </c>
    </row>
    <row r="1096" spans="2:8">
      <c r="B1096" s="630" t="s">
        <v>1232</v>
      </c>
      <c r="C1096" s="631"/>
      <c r="D1096" s="631"/>
      <c r="E1096" s="631"/>
      <c r="F1096" s="631"/>
      <c r="G1096" s="632"/>
      <c r="H1096" s="148">
        <f>SUM(H1091:H1095)</f>
        <v>17.856549999999999</v>
      </c>
    </row>
    <row r="1097" spans="2:8">
      <c r="B1097" s="621"/>
      <c r="C1097" s="622"/>
      <c r="D1097" s="622"/>
      <c r="E1097" s="622"/>
      <c r="F1097" s="622"/>
      <c r="G1097" s="622"/>
      <c r="H1097" s="623"/>
    </row>
    <row r="1098" spans="2:8" ht="25.5">
      <c r="B1098" s="139" t="s">
        <v>2090</v>
      </c>
      <c r="C1098" s="140" t="s">
        <v>780</v>
      </c>
      <c r="D1098" s="141" t="s">
        <v>12</v>
      </c>
      <c r="E1098" s="141" t="s">
        <v>37</v>
      </c>
      <c r="F1098" s="142"/>
      <c r="G1098" s="143"/>
      <c r="H1098" s="144"/>
    </row>
    <row r="1099" spans="2:8" ht="25.5">
      <c r="B1099" s="145">
        <v>1379</v>
      </c>
      <c r="C1099" s="98" t="s">
        <v>1517</v>
      </c>
      <c r="D1099" s="99" t="s">
        <v>401</v>
      </c>
      <c r="E1099" s="99" t="s">
        <v>112</v>
      </c>
      <c r="F1099" s="94">
        <v>14</v>
      </c>
      <c r="G1099" s="95">
        <v>0.62</v>
      </c>
      <c r="H1099" s="147">
        <f>F1099*G1099</f>
        <v>8.68</v>
      </c>
    </row>
    <row r="1100" spans="2:8" ht="38.25">
      <c r="B1100" s="145">
        <v>370</v>
      </c>
      <c r="C1100" s="98" t="s">
        <v>1560</v>
      </c>
      <c r="D1100" s="99" t="s">
        <v>401</v>
      </c>
      <c r="E1100" s="99" t="s">
        <v>75</v>
      </c>
      <c r="F1100" s="94" t="s">
        <v>1240</v>
      </c>
      <c r="G1100" s="95">
        <v>141</v>
      </c>
      <c r="H1100" s="147">
        <f t="shared" ref="H1100:H1102" si="109">F1100*G1100</f>
        <v>5.64</v>
      </c>
    </row>
    <row r="1101" spans="2:8" ht="25.5">
      <c r="B1101" s="145" t="s">
        <v>1338</v>
      </c>
      <c r="C1101" s="98" t="s">
        <v>1339</v>
      </c>
      <c r="D1101" s="99" t="s">
        <v>12</v>
      </c>
      <c r="E1101" s="99" t="s">
        <v>1129</v>
      </c>
      <c r="F1101" s="94">
        <v>2</v>
      </c>
      <c r="G1101" s="95">
        <v>25.07</v>
      </c>
      <c r="H1101" s="147">
        <f t="shared" si="109"/>
        <v>50.14</v>
      </c>
    </row>
    <row r="1102" spans="2:8" ht="25.5">
      <c r="B1102" s="145" t="s">
        <v>1286</v>
      </c>
      <c r="C1102" s="98" t="s">
        <v>1287</v>
      </c>
      <c r="D1102" s="99" t="s">
        <v>12</v>
      </c>
      <c r="E1102" s="99" t="s">
        <v>1129</v>
      </c>
      <c r="F1102" s="94">
        <v>1.99907919</v>
      </c>
      <c r="G1102" s="95">
        <v>18.649999999999999</v>
      </c>
      <c r="H1102" s="147">
        <f t="shared" si="109"/>
        <v>37.282826893499994</v>
      </c>
    </row>
    <row r="1103" spans="2:8">
      <c r="B1103" s="630" t="s">
        <v>1232</v>
      </c>
      <c r="C1103" s="631"/>
      <c r="D1103" s="631"/>
      <c r="E1103" s="631"/>
      <c r="F1103" s="631"/>
      <c r="G1103" s="632"/>
      <c r="H1103" s="148">
        <f>SUM(H1099:H1102)</f>
        <v>101.74282689349999</v>
      </c>
    </row>
    <row r="1104" spans="2:8">
      <c r="B1104" s="621"/>
      <c r="C1104" s="622"/>
      <c r="D1104" s="622"/>
      <c r="E1104" s="622"/>
      <c r="F1104" s="622"/>
      <c r="G1104" s="622"/>
      <c r="H1104" s="623"/>
    </row>
    <row r="1105" spans="2:8" ht="25.5">
      <c r="B1105" s="139" t="s">
        <v>2091</v>
      </c>
      <c r="C1105" s="140" t="s">
        <v>798</v>
      </c>
      <c r="D1105" s="141" t="s">
        <v>12</v>
      </c>
      <c r="E1105" s="141" t="s">
        <v>37</v>
      </c>
      <c r="F1105" s="142"/>
      <c r="G1105" s="143"/>
      <c r="H1105" s="144"/>
    </row>
    <row r="1106" spans="2:8" ht="25.5">
      <c r="B1106" s="145" t="s">
        <v>1637</v>
      </c>
      <c r="C1106" s="98" t="s">
        <v>1638</v>
      </c>
      <c r="D1106" s="99" t="s">
        <v>401</v>
      </c>
      <c r="E1106" s="99" t="s">
        <v>37</v>
      </c>
      <c r="F1106" s="94">
        <v>2</v>
      </c>
      <c r="G1106" s="95">
        <v>81</v>
      </c>
      <c r="H1106" s="147">
        <f>F1106*G1106</f>
        <v>162</v>
      </c>
    </row>
    <row r="1107" spans="2:8">
      <c r="B1107" s="145" t="s">
        <v>1639</v>
      </c>
      <c r="C1107" s="98" t="s">
        <v>1640</v>
      </c>
      <c r="D1107" s="99" t="s">
        <v>401</v>
      </c>
      <c r="E1107" s="99" t="s">
        <v>37</v>
      </c>
      <c r="F1107" s="94">
        <v>1</v>
      </c>
      <c r="G1107" s="95" t="s">
        <v>1641</v>
      </c>
      <c r="H1107" s="147">
        <f t="shared" ref="H1107:H1115" si="110">F1107*G1107</f>
        <v>49.5</v>
      </c>
    </row>
    <row r="1108" spans="2:8" ht="25.5">
      <c r="B1108" s="145" t="s">
        <v>1642</v>
      </c>
      <c r="C1108" s="98" t="s">
        <v>1643</v>
      </c>
      <c r="D1108" s="99" t="s">
        <v>401</v>
      </c>
      <c r="E1108" s="99" t="s">
        <v>37</v>
      </c>
      <c r="F1108" s="94">
        <v>1</v>
      </c>
      <c r="G1108" s="95">
        <v>840.58</v>
      </c>
      <c r="H1108" s="147">
        <f t="shared" si="110"/>
        <v>840.58</v>
      </c>
    </row>
    <row r="1109" spans="2:8" ht="68.099999999999994" customHeight="1">
      <c r="B1109" s="145" t="s">
        <v>829</v>
      </c>
      <c r="C1109" s="98" t="s">
        <v>830</v>
      </c>
      <c r="D1109" s="99" t="s">
        <v>401</v>
      </c>
      <c r="E1109" s="99" t="s">
        <v>37</v>
      </c>
      <c r="F1109" s="94">
        <v>1</v>
      </c>
      <c r="G1109" s="95">
        <v>2844.82</v>
      </c>
      <c r="H1109" s="147">
        <f t="shared" si="110"/>
        <v>2844.82</v>
      </c>
    </row>
    <row r="1110" spans="2:8" ht="25.5">
      <c r="B1110" s="145" t="s">
        <v>1644</v>
      </c>
      <c r="C1110" s="98" t="s">
        <v>1645</v>
      </c>
      <c r="D1110" s="99" t="s">
        <v>401</v>
      </c>
      <c r="E1110" s="99" t="s">
        <v>37</v>
      </c>
      <c r="F1110" s="94">
        <v>1</v>
      </c>
      <c r="G1110" s="95">
        <v>1793.34</v>
      </c>
      <c r="H1110" s="147">
        <f t="shared" si="110"/>
        <v>1793.34</v>
      </c>
    </row>
    <row r="1111" spans="2:8" ht="51">
      <c r="B1111" s="145">
        <v>1062</v>
      </c>
      <c r="C1111" s="98" t="s">
        <v>1646</v>
      </c>
      <c r="D1111" s="99" t="s">
        <v>401</v>
      </c>
      <c r="E1111" s="99" t="s">
        <v>37</v>
      </c>
      <c r="F1111" s="94">
        <v>1</v>
      </c>
      <c r="G1111" s="95">
        <v>420.66</v>
      </c>
      <c r="H1111" s="147">
        <f t="shared" si="110"/>
        <v>420.66</v>
      </c>
    </row>
    <row r="1112" spans="2:8" ht="51">
      <c r="B1112" s="145">
        <v>39680</v>
      </c>
      <c r="C1112" s="98" t="s">
        <v>1647</v>
      </c>
      <c r="D1112" s="99" t="s">
        <v>401</v>
      </c>
      <c r="E1112" s="99" t="s">
        <v>37</v>
      </c>
      <c r="F1112" s="94">
        <v>1</v>
      </c>
      <c r="G1112" s="95">
        <f>111.06*1.2217</f>
        <v>135.68200200000001</v>
      </c>
      <c r="H1112" s="147">
        <f t="shared" si="110"/>
        <v>135.68200200000001</v>
      </c>
    </row>
    <row r="1113" spans="2:8" ht="38.25">
      <c r="B1113" s="145" t="s">
        <v>1648</v>
      </c>
      <c r="C1113" s="98" t="s">
        <v>1649</v>
      </c>
      <c r="D1113" s="99" t="s">
        <v>12</v>
      </c>
      <c r="E1113" s="99" t="s">
        <v>37</v>
      </c>
      <c r="F1113" s="94">
        <v>1</v>
      </c>
      <c r="G1113" s="95">
        <f>222.47*1.2217</f>
        <v>271.79159900000002</v>
      </c>
      <c r="H1113" s="147">
        <f t="shared" si="110"/>
        <v>271.79159900000002</v>
      </c>
    </row>
    <row r="1114" spans="2:8" ht="25.5">
      <c r="B1114" s="145" t="s">
        <v>1625</v>
      </c>
      <c r="C1114" s="98" t="s">
        <v>1626</v>
      </c>
      <c r="D1114" s="99" t="s">
        <v>12</v>
      </c>
      <c r="E1114" s="99" t="s">
        <v>1129</v>
      </c>
      <c r="F1114" s="94">
        <v>16.004382120999999</v>
      </c>
      <c r="G1114" s="95">
        <v>19.84</v>
      </c>
      <c r="H1114" s="147">
        <f t="shared" si="110"/>
        <v>317.52694128063996</v>
      </c>
    </row>
    <row r="1115" spans="2:8" ht="25.5">
      <c r="B1115" s="145" t="s">
        <v>1627</v>
      </c>
      <c r="C1115" s="98" t="s">
        <v>1628</v>
      </c>
      <c r="D1115" s="99" t="s">
        <v>12</v>
      </c>
      <c r="E1115" s="99" t="s">
        <v>1129</v>
      </c>
      <c r="F1115" s="94">
        <v>16.002178649000001</v>
      </c>
      <c r="G1115" s="95">
        <v>25.32</v>
      </c>
      <c r="H1115" s="147">
        <f t="shared" si="110"/>
        <v>405.17516339268002</v>
      </c>
    </row>
    <row r="1116" spans="2:8">
      <c r="B1116" s="630" t="s">
        <v>1232</v>
      </c>
      <c r="C1116" s="631"/>
      <c r="D1116" s="631"/>
      <c r="E1116" s="631"/>
      <c r="F1116" s="631"/>
      <c r="G1116" s="632"/>
      <c r="H1116" s="148">
        <f>SUM(H1106:H1115)</f>
        <v>7241.0757056733191</v>
      </c>
    </row>
    <row r="1117" spans="2:8">
      <c r="B1117" s="621"/>
      <c r="C1117" s="622"/>
      <c r="D1117" s="622"/>
      <c r="E1117" s="622"/>
      <c r="F1117" s="622"/>
      <c r="G1117" s="622"/>
      <c r="H1117" s="623"/>
    </row>
    <row r="1118" spans="2:8" ht="25.5">
      <c r="B1118" s="139" t="s">
        <v>2092</v>
      </c>
      <c r="C1118" s="140" t="s">
        <v>813</v>
      </c>
      <c r="D1118" s="141" t="s">
        <v>12</v>
      </c>
      <c r="E1118" s="141" t="s">
        <v>37</v>
      </c>
      <c r="F1118" s="142"/>
      <c r="G1118" s="143"/>
      <c r="H1118" s="144"/>
    </row>
    <row r="1119" spans="2:8" ht="25.5">
      <c r="B1119" s="145">
        <v>1106</v>
      </c>
      <c r="C1119" s="98" t="s">
        <v>1651</v>
      </c>
      <c r="D1119" s="99" t="s">
        <v>401</v>
      </c>
      <c r="E1119" s="99" t="s">
        <v>112</v>
      </c>
      <c r="F1119" s="94">
        <v>6</v>
      </c>
      <c r="G1119" s="95">
        <v>0.98</v>
      </c>
      <c r="H1119" s="147">
        <f>F1119*G1119</f>
        <v>5.88</v>
      </c>
    </row>
    <row r="1120" spans="2:8" ht="38.25">
      <c r="B1120" s="145">
        <v>1358</v>
      </c>
      <c r="C1120" s="98" t="s">
        <v>1342</v>
      </c>
      <c r="D1120" s="99" t="s">
        <v>401</v>
      </c>
      <c r="E1120" s="99" t="s">
        <v>24</v>
      </c>
      <c r="F1120" s="94" t="s">
        <v>1390</v>
      </c>
      <c r="G1120" s="95">
        <v>57.39</v>
      </c>
      <c r="H1120" s="147">
        <f t="shared" ref="H1120:H1129" si="111">F1120*G1120</f>
        <v>6.8868</v>
      </c>
    </row>
    <row r="1121" spans="2:8" ht="25.5">
      <c r="B1121" s="145">
        <v>1379</v>
      </c>
      <c r="C1121" s="98" t="s">
        <v>1517</v>
      </c>
      <c r="D1121" s="99" t="s">
        <v>401</v>
      </c>
      <c r="E1121" s="99" t="s">
        <v>112</v>
      </c>
      <c r="F1121" s="94">
        <v>36</v>
      </c>
      <c r="G1121" s="95">
        <v>0.62</v>
      </c>
      <c r="H1121" s="147">
        <f t="shared" si="111"/>
        <v>22.32</v>
      </c>
    </row>
    <row r="1122" spans="2:8" ht="38.25">
      <c r="B1122" s="145">
        <v>14112</v>
      </c>
      <c r="C1122" s="98" t="s">
        <v>1652</v>
      </c>
      <c r="D1122" s="99" t="s">
        <v>401</v>
      </c>
      <c r="E1122" s="99" t="s">
        <v>37</v>
      </c>
      <c r="F1122" s="94">
        <v>1</v>
      </c>
      <c r="G1122" s="95">
        <v>337.67</v>
      </c>
      <c r="H1122" s="147">
        <f t="shared" si="111"/>
        <v>337.67</v>
      </c>
    </row>
    <row r="1123" spans="2:8" ht="38.25">
      <c r="B1123" s="145">
        <v>370</v>
      </c>
      <c r="C1123" s="98" t="s">
        <v>1560</v>
      </c>
      <c r="D1123" s="99" t="s">
        <v>401</v>
      </c>
      <c r="E1123" s="99" t="s">
        <v>75</v>
      </c>
      <c r="F1123" s="94" t="s">
        <v>1390</v>
      </c>
      <c r="G1123" s="95">
        <v>141</v>
      </c>
      <c r="H1123" s="147">
        <f t="shared" si="111"/>
        <v>16.919999999999998</v>
      </c>
    </row>
    <row r="1124" spans="2:8">
      <c r="B1124" s="145">
        <v>43059</v>
      </c>
      <c r="C1124" s="98" t="s">
        <v>1653</v>
      </c>
      <c r="D1124" s="99" t="s">
        <v>401</v>
      </c>
      <c r="E1124" s="99" t="s">
        <v>112</v>
      </c>
      <c r="F1124" s="94">
        <v>4</v>
      </c>
      <c r="G1124" s="95">
        <v>10.84</v>
      </c>
      <c r="H1124" s="147">
        <f t="shared" si="111"/>
        <v>43.36</v>
      </c>
    </row>
    <row r="1125" spans="2:8" ht="38.25">
      <c r="B1125" s="145">
        <v>4721</v>
      </c>
      <c r="C1125" s="98" t="s">
        <v>1654</v>
      </c>
      <c r="D1125" s="99" t="s">
        <v>401</v>
      </c>
      <c r="E1125" s="99" t="s">
        <v>75</v>
      </c>
      <c r="F1125" s="94" t="s">
        <v>1276</v>
      </c>
      <c r="G1125" s="95">
        <v>134.31</v>
      </c>
      <c r="H1125" s="147">
        <f t="shared" si="111"/>
        <v>8.0586000000000002</v>
      </c>
    </row>
    <row r="1126" spans="2:8" ht="38.25">
      <c r="B1126" s="145">
        <v>4722</v>
      </c>
      <c r="C1126" s="98" t="s">
        <v>1340</v>
      </c>
      <c r="D1126" s="99" t="s">
        <v>401</v>
      </c>
      <c r="E1126" s="99" t="s">
        <v>75</v>
      </c>
      <c r="F1126" s="94" t="s">
        <v>1308</v>
      </c>
      <c r="G1126" s="95">
        <v>126.87</v>
      </c>
      <c r="H1126" s="147">
        <f t="shared" si="111"/>
        <v>1.0149600000000001</v>
      </c>
    </row>
    <row r="1127" spans="2:8" ht="25.5">
      <c r="B1127" s="145">
        <v>7258</v>
      </c>
      <c r="C1127" s="98" t="s">
        <v>1401</v>
      </c>
      <c r="D1127" s="99" t="s">
        <v>401</v>
      </c>
      <c r="E1127" s="99" t="s">
        <v>37</v>
      </c>
      <c r="F1127" s="94">
        <v>120</v>
      </c>
      <c r="G1127" s="95">
        <v>0.7</v>
      </c>
      <c r="H1127" s="147">
        <f t="shared" si="111"/>
        <v>84</v>
      </c>
    </row>
    <row r="1128" spans="2:8" ht="25.5">
      <c r="B1128" s="145" t="s">
        <v>1338</v>
      </c>
      <c r="C1128" s="98" t="s">
        <v>1339</v>
      </c>
      <c r="D1128" s="99" t="s">
        <v>12</v>
      </c>
      <c r="E1128" s="99" t="s">
        <v>1129</v>
      </c>
      <c r="F1128" s="94">
        <v>4.0007326010000002</v>
      </c>
      <c r="G1128" s="95">
        <v>25.07</v>
      </c>
      <c r="H1128" s="147">
        <f t="shared" si="111"/>
        <v>100.29836630707001</v>
      </c>
    </row>
    <row r="1129" spans="2:8" ht="25.5">
      <c r="B1129" s="145" t="s">
        <v>1286</v>
      </c>
      <c r="C1129" s="98" t="s">
        <v>1287</v>
      </c>
      <c r="D1129" s="99" t="s">
        <v>12</v>
      </c>
      <c r="E1129" s="99" t="s">
        <v>1129</v>
      </c>
      <c r="F1129" s="94">
        <v>5.9981583790000004</v>
      </c>
      <c r="G1129" s="95">
        <v>18.649999999999999</v>
      </c>
      <c r="H1129" s="147">
        <f t="shared" si="111"/>
        <v>111.86565376835</v>
      </c>
    </row>
    <row r="1130" spans="2:8">
      <c r="B1130" s="630" t="s">
        <v>1232</v>
      </c>
      <c r="C1130" s="631"/>
      <c r="D1130" s="631"/>
      <c r="E1130" s="631"/>
      <c r="F1130" s="631"/>
      <c r="G1130" s="632"/>
      <c r="H1130" s="148">
        <f>SUM(H1119:H1129)</f>
        <v>738.27438007542014</v>
      </c>
    </row>
    <row r="1131" spans="2:8">
      <c r="B1131" s="636"/>
      <c r="C1131" s="637"/>
      <c r="D1131" s="637"/>
      <c r="E1131" s="637"/>
      <c r="F1131" s="637"/>
      <c r="G1131" s="637"/>
      <c r="H1131" s="638"/>
    </row>
    <row r="1132" spans="2:8" ht="25.5" customHeight="1">
      <c r="B1132" s="196" t="s">
        <v>2093</v>
      </c>
      <c r="C1132" s="137" t="s">
        <v>818</v>
      </c>
      <c r="D1132" s="197" t="s">
        <v>12</v>
      </c>
      <c r="E1132" s="197" t="s">
        <v>663</v>
      </c>
      <c r="F1132" s="198"/>
      <c r="G1132" s="199"/>
      <c r="H1132" s="200"/>
    </row>
    <row r="1133" spans="2:8" ht="51">
      <c r="B1133" s="97">
        <v>13393</v>
      </c>
      <c r="C1133" s="98" t="s">
        <v>1655</v>
      </c>
      <c r="D1133" s="99" t="s">
        <v>401</v>
      </c>
      <c r="E1133" s="99" t="s">
        <v>37</v>
      </c>
      <c r="F1133" s="94">
        <v>1</v>
      </c>
      <c r="G1133" s="95">
        <v>562.16999999999996</v>
      </c>
      <c r="H1133" s="96">
        <f>F1133*G1133</f>
        <v>562.16999999999996</v>
      </c>
    </row>
    <row r="1134" spans="2:8" ht="25.5">
      <c r="B1134" s="97">
        <v>2373</v>
      </c>
      <c r="C1134" s="98" t="s">
        <v>1656</v>
      </c>
      <c r="D1134" s="99" t="s">
        <v>401</v>
      </c>
      <c r="E1134" s="99" t="s">
        <v>37</v>
      </c>
      <c r="F1134" s="94">
        <v>3</v>
      </c>
      <c r="G1134" s="95">
        <v>125.41</v>
      </c>
      <c r="H1134" s="96">
        <f t="shared" ref="H1134:H1139" si="112">F1134*G1134</f>
        <v>376.23</v>
      </c>
    </row>
    <row r="1135" spans="2:8" ht="25.5">
      <c r="B1135" s="97">
        <v>2392</v>
      </c>
      <c r="C1135" s="98" t="s">
        <v>1657</v>
      </c>
      <c r="D1135" s="99" t="s">
        <v>401</v>
      </c>
      <c r="E1135" s="99" t="s">
        <v>37</v>
      </c>
      <c r="F1135" s="94">
        <v>8</v>
      </c>
      <c r="G1135" s="95">
        <v>89.01</v>
      </c>
      <c r="H1135" s="96">
        <f t="shared" si="112"/>
        <v>712.08</v>
      </c>
    </row>
    <row r="1136" spans="2:8" ht="25.5">
      <c r="B1136" s="97" t="s">
        <v>2094</v>
      </c>
      <c r="C1136" s="98" t="s">
        <v>1658</v>
      </c>
      <c r="D1136" s="99" t="s">
        <v>401</v>
      </c>
      <c r="E1136" s="99" t="s">
        <v>37</v>
      </c>
      <c r="F1136" s="94">
        <v>1</v>
      </c>
      <c r="G1136" s="95">
        <v>263</v>
      </c>
      <c r="H1136" s="96">
        <f t="shared" si="112"/>
        <v>263</v>
      </c>
    </row>
    <row r="1137" spans="2:8" ht="38.25">
      <c r="B1137" s="97">
        <v>2376</v>
      </c>
      <c r="C1137" s="98" t="s">
        <v>2095</v>
      </c>
      <c r="D1137" s="99" t="s">
        <v>12</v>
      </c>
      <c r="E1137" s="99" t="s">
        <v>37</v>
      </c>
      <c r="F1137" s="94">
        <v>1</v>
      </c>
      <c r="G1137" s="95">
        <v>2365.71</v>
      </c>
      <c r="H1137" s="96">
        <f t="shared" si="112"/>
        <v>2365.71</v>
      </c>
    </row>
    <row r="1138" spans="2:8" ht="25.5">
      <c r="B1138" s="97" t="s">
        <v>1625</v>
      </c>
      <c r="C1138" s="98" t="s">
        <v>1626</v>
      </c>
      <c r="D1138" s="99" t="s">
        <v>12</v>
      </c>
      <c r="E1138" s="99" t="s">
        <v>1129</v>
      </c>
      <c r="F1138" s="94">
        <v>12</v>
      </c>
      <c r="G1138" s="95">
        <v>19.84</v>
      </c>
      <c r="H1138" s="96">
        <f t="shared" si="112"/>
        <v>238.07999999999998</v>
      </c>
    </row>
    <row r="1139" spans="2:8" ht="25.5">
      <c r="B1139" s="97" t="s">
        <v>1627</v>
      </c>
      <c r="C1139" s="98" t="s">
        <v>1628</v>
      </c>
      <c r="D1139" s="99" t="s">
        <v>12</v>
      </c>
      <c r="E1139" s="99" t="s">
        <v>1129</v>
      </c>
      <c r="F1139" s="94">
        <v>12</v>
      </c>
      <c r="G1139" s="95">
        <v>25.32</v>
      </c>
      <c r="H1139" s="96">
        <f t="shared" si="112"/>
        <v>303.84000000000003</v>
      </c>
    </row>
    <row r="1140" spans="2:8">
      <c r="B1140" s="680" t="s">
        <v>1232</v>
      </c>
      <c r="C1140" s="631"/>
      <c r="D1140" s="631"/>
      <c r="E1140" s="631"/>
      <c r="F1140" s="631"/>
      <c r="G1140" s="632"/>
      <c r="H1140" s="201">
        <f>SUM(H1133:H1139)</f>
        <v>4821.1100000000006</v>
      </c>
    </row>
    <row r="1141" spans="2:8">
      <c r="B1141" s="636"/>
      <c r="C1141" s="637"/>
      <c r="D1141" s="637"/>
      <c r="E1141" s="637"/>
      <c r="F1141" s="637"/>
      <c r="G1141" s="637"/>
      <c r="H1141" s="638"/>
    </row>
    <row r="1142" spans="2:8" ht="25.5" customHeight="1">
      <c r="B1142" s="196" t="s">
        <v>2096</v>
      </c>
      <c r="C1142" s="137" t="s">
        <v>821</v>
      </c>
      <c r="D1142" s="197" t="s">
        <v>12</v>
      </c>
      <c r="E1142" s="197" t="s">
        <v>663</v>
      </c>
      <c r="F1142" s="198"/>
      <c r="G1142" s="199"/>
      <c r="H1142" s="200"/>
    </row>
    <row r="1143" spans="2:8" ht="51">
      <c r="B1143" s="97">
        <v>12043</v>
      </c>
      <c r="C1143" s="98" t="s">
        <v>1659</v>
      </c>
      <c r="D1143" s="99" t="s">
        <v>401</v>
      </c>
      <c r="E1143" s="99" t="s">
        <v>37</v>
      </c>
      <c r="F1143" s="94">
        <v>1</v>
      </c>
      <c r="G1143" s="95">
        <v>2004.63</v>
      </c>
      <c r="H1143" s="96">
        <f>F1143*G1143</f>
        <v>2004.63</v>
      </c>
    </row>
    <row r="1144" spans="2:8" ht="25.5">
      <c r="B1144" s="97">
        <v>2370</v>
      </c>
      <c r="C1144" s="98" t="s">
        <v>1660</v>
      </c>
      <c r="D1144" s="99" t="s">
        <v>401</v>
      </c>
      <c r="E1144" s="99" t="s">
        <v>37</v>
      </c>
      <c r="F1144" s="94">
        <v>15</v>
      </c>
      <c r="G1144" s="95">
        <v>13.26</v>
      </c>
      <c r="H1144" s="96">
        <f t="shared" ref="H1144:H1149" si="113">F1144*G1144</f>
        <v>198.9</v>
      </c>
    </row>
    <row r="1145" spans="2:8" ht="25.5">
      <c r="B1145" s="97">
        <v>2373</v>
      </c>
      <c r="C1145" s="98" t="s">
        <v>1656</v>
      </c>
      <c r="D1145" s="99" t="s">
        <v>401</v>
      </c>
      <c r="E1145" s="99" t="s">
        <v>37</v>
      </c>
      <c r="F1145" s="94">
        <v>1</v>
      </c>
      <c r="G1145" s="95">
        <v>125.41</v>
      </c>
      <c r="H1145" s="96">
        <f t="shared" si="113"/>
        <v>125.41</v>
      </c>
    </row>
    <row r="1146" spans="2:8" ht="25.5">
      <c r="B1146" s="97">
        <v>2386</v>
      </c>
      <c r="C1146" s="98" t="s">
        <v>1661</v>
      </c>
      <c r="D1146" s="99" t="s">
        <v>401</v>
      </c>
      <c r="E1146" s="99" t="s">
        <v>37</v>
      </c>
      <c r="F1146" s="94">
        <v>12</v>
      </c>
      <c r="G1146" s="95">
        <v>22.24</v>
      </c>
      <c r="H1146" s="96">
        <f t="shared" si="113"/>
        <v>266.88</v>
      </c>
    </row>
    <row r="1147" spans="2:8" ht="25.5">
      <c r="B1147" s="97" t="s">
        <v>2094</v>
      </c>
      <c r="C1147" s="98" t="s">
        <v>1658</v>
      </c>
      <c r="D1147" s="99" t="s">
        <v>401</v>
      </c>
      <c r="E1147" s="99" t="s">
        <v>37</v>
      </c>
      <c r="F1147" s="94">
        <v>1</v>
      </c>
      <c r="G1147" s="95">
        <v>263</v>
      </c>
      <c r="H1147" s="96">
        <f t="shared" si="113"/>
        <v>263</v>
      </c>
    </row>
    <row r="1148" spans="2:8" ht="25.5">
      <c r="B1148" s="97" t="s">
        <v>1625</v>
      </c>
      <c r="C1148" s="98" t="s">
        <v>1626</v>
      </c>
      <c r="D1148" s="99" t="s">
        <v>12</v>
      </c>
      <c r="E1148" s="99" t="s">
        <v>1129</v>
      </c>
      <c r="F1148" s="94">
        <v>16</v>
      </c>
      <c r="G1148" s="95">
        <v>19.84</v>
      </c>
      <c r="H1148" s="96">
        <f t="shared" si="113"/>
        <v>317.44</v>
      </c>
    </row>
    <row r="1149" spans="2:8" ht="25.5">
      <c r="B1149" s="97" t="s">
        <v>1627</v>
      </c>
      <c r="C1149" s="98" t="s">
        <v>1628</v>
      </c>
      <c r="D1149" s="99" t="s">
        <v>12</v>
      </c>
      <c r="E1149" s="99" t="s">
        <v>1129</v>
      </c>
      <c r="F1149" s="94">
        <v>16</v>
      </c>
      <c r="G1149" s="95">
        <v>25.32</v>
      </c>
      <c r="H1149" s="96">
        <f t="shared" si="113"/>
        <v>405.12</v>
      </c>
    </row>
    <row r="1150" spans="2:8">
      <c r="B1150" s="680" t="s">
        <v>1232</v>
      </c>
      <c r="C1150" s="631"/>
      <c r="D1150" s="631"/>
      <c r="E1150" s="631"/>
      <c r="F1150" s="631"/>
      <c r="G1150" s="632"/>
      <c r="H1150" s="201">
        <f>SUM(H1143:H1149)</f>
        <v>3581.38</v>
      </c>
    </row>
    <row r="1151" spans="2:8">
      <c r="B1151" s="621"/>
      <c r="C1151" s="622"/>
      <c r="D1151" s="622"/>
      <c r="E1151" s="622"/>
      <c r="F1151" s="622"/>
      <c r="G1151" s="622"/>
      <c r="H1151" s="623"/>
    </row>
    <row r="1152" spans="2:8" ht="25.5" customHeight="1">
      <c r="B1152" s="139" t="s">
        <v>2097</v>
      </c>
      <c r="C1152" s="140" t="s">
        <v>822</v>
      </c>
      <c r="D1152" s="141" t="s">
        <v>12</v>
      </c>
      <c r="E1152" s="141" t="s">
        <v>663</v>
      </c>
      <c r="F1152" s="142"/>
      <c r="G1152" s="143"/>
      <c r="H1152" s="144"/>
    </row>
    <row r="1153" spans="2:8" ht="25.5">
      <c r="B1153" s="145" t="s">
        <v>1662</v>
      </c>
      <c r="C1153" s="98" t="s">
        <v>1663</v>
      </c>
      <c r="D1153" s="99" t="s">
        <v>401</v>
      </c>
      <c r="E1153" s="99" t="s">
        <v>37</v>
      </c>
      <c r="F1153" s="94">
        <v>1</v>
      </c>
      <c r="G1153" s="95">
        <f>147.5*1.2217</f>
        <v>180.20075</v>
      </c>
      <c r="H1153" s="147">
        <f>F1153*G1153</f>
        <v>180.20075</v>
      </c>
    </row>
    <row r="1154" spans="2:8" ht="25.5">
      <c r="B1154" s="145">
        <v>2370</v>
      </c>
      <c r="C1154" s="98" t="s">
        <v>1660</v>
      </c>
      <c r="D1154" s="99" t="s">
        <v>401</v>
      </c>
      <c r="E1154" s="99" t="s">
        <v>37</v>
      </c>
      <c r="F1154" s="94">
        <v>12</v>
      </c>
      <c r="G1154" s="95">
        <v>13.26</v>
      </c>
      <c r="H1154" s="147">
        <f t="shared" ref="H1154:H1158" si="114">F1154*G1154</f>
        <v>159.12</v>
      </c>
    </row>
    <row r="1155" spans="2:8" ht="25.5">
      <c r="B1155" s="145">
        <v>2392</v>
      </c>
      <c r="C1155" s="98" t="s">
        <v>1657</v>
      </c>
      <c r="D1155" s="99" t="s">
        <v>401</v>
      </c>
      <c r="E1155" s="99" t="s">
        <v>37</v>
      </c>
      <c r="F1155" s="94">
        <v>1</v>
      </c>
      <c r="G1155" s="95">
        <v>89.01</v>
      </c>
      <c r="H1155" s="147">
        <f t="shared" si="114"/>
        <v>89.01</v>
      </c>
    </row>
    <row r="1156" spans="2:8" ht="51">
      <c r="B1156" s="145">
        <v>13395</v>
      </c>
      <c r="C1156" s="98" t="s">
        <v>2098</v>
      </c>
      <c r="D1156" s="99" t="s">
        <v>12</v>
      </c>
      <c r="E1156" s="99" t="s">
        <v>37</v>
      </c>
      <c r="F1156" s="94">
        <v>1</v>
      </c>
      <c r="G1156" s="95">
        <v>787.82</v>
      </c>
      <c r="H1156" s="147">
        <f t="shared" si="114"/>
        <v>787.82</v>
      </c>
    </row>
    <row r="1157" spans="2:8" ht="25.5">
      <c r="B1157" s="145" t="s">
        <v>1625</v>
      </c>
      <c r="C1157" s="98" t="s">
        <v>1626</v>
      </c>
      <c r="D1157" s="99" t="s">
        <v>12</v>
      </c>
      <c r="E1157" s="99" t="s">
        <v>1129</v>
      </c>
      <c r="F1157" s="94">
        <v>10</v>
      </c>
      <c r="G1157" s="95">
        <v>19.84</v>
      </c>
      <c r="H1157" s="147">
        <f t="shared" si="114"/>
        <v>198.4</v>
      </c>
    </row>
    <row r="1158" spans="2:8" ht="25.5">
      <c r="B1158" s="145" t="s">
        <v>1627</v>
      </c>
      <c r="C1158" s="98" t="s">
        <v>1628</v>
      </c>
      <c r="D1158" s="99" t="s">
        <v>12</v>
      </c>
      <c r="E1158" s="99" t="s">
        <v>1129</v>
      </c>
      <c r="F1158" s="94">
        <v>10</v>
      </c>
      <c r="G1158" s="95">
        <v>25.32</v>
      </c>
      <c r="H1158" s="147">
        <f t="shared" si="114"/>
        <v>253.2</v>
      </c>
    </row>
    <row r="1159" spans="2:8">
      <c r="B1159" s="630" t="s">
        <v>1232</v>
      </c>
      <c r="C1159" s="631"/>
      <c r="D1159" s="631"/>
      <c r="E1159" s="631"/>
      <c r="F1159" s="631"/>
      <c r="G1159" s="632"/>
      <c r="H1159" s="148">
        <f>SUM(H1153:H1158)</f>
        <v>1667.7507500000002</v>
      </c>
    </row>
    <row r="1160" spans="2:8">
      <c r="B1160" s="621"/>
      <c r="C1160" s="622"/>
      <c r="D1160" s="622"/>
      <c r="E1160" s="622"/>
      <c r="F1160" s="622"/>
      <c r="G1160" s="622"/>
      <c r="H1160" s="623"/>
    </row>
    <row r="1161" spans="2:8" ht="25.5" customHeight="1">
      <c r="B1161" s="139" t="s">
        <v>2099</v>
      </c>
      <c r="C1161" s="140" t="s">
        <v>823</v>
      </c>
      <c r="D1161" s="141" t="s">
        <v>12</v>
      </c>
      <c r="E1161" s="141" t="s">
        <v>663</v>
      </c>
      <c r="F1161" s="142"/>
      <c r="G1161" s="143"/>
      <c r="H1161" s="144"/>
    </row>
    <row r="1162" spans="2:8" ht="25.5">
      <c r="B1162" s="145" t="s">
        <v>1662</v>
      </c>
      <c r="C1162" s="98" t="s">
        <v>1663</v>
      </c>
      <c r="D1162" s="99" t="s">
        <v>401</v>
      </c>
      <c r="E1162" s="99" t="s">
        <v>37</v>
      </c>
      <c r="F1162" s="94">
        <v>1</v>
      </c>
      <c r="G1162" s="95">
        <f>147.5*1.2217</f>
        <v>180.20075</v>
      </c>
      <c r="H1162" s="147">
        <f>F1162*G1162</f>
        <v>180.20075</v>
      </c>
    </row>
    <row r="1163" spans="2:8" ht="25.5">
      <c r="B1163" s="145">
        <v>2370</v>
      </c>
      <c r="C1163" s="98" t="s">
        <v>1660</v>
      </c>
      <c r="D1163" s="99" t="s">
        <v>401</v>
      </c>
      <c r="E1163" s="99" t="s">
        <v>37</v>
      </c>
      <c r="F1163" s="94">
        <v>18</v>
      </c>
      <c r="G1163" s="95">
        <v>13.26</v>
      </c>
      <c r="H1163" s="147">
        <f t="shared" ref="H1163:H1167" si="115">F1163*G1163</f>
        <v>238.68</v>
      </c>
    </row>
    <row r="1164" spans="2:8" ht="25.5">
      <c r="B1164" s="145">
        <v>2392</v>
      </c>
      <c r="C1164" s="98" t="s">
        <v>1657</v>
      </c>
      <c r="D1164" s="99" t="s">
        <v>401</v>
      </c>
      <c r="E1164" s="99" t="s">
        <v>37</v>
      </c>
      <c r="F1164" s="94">
        <v>1</v>
      </c>
      <c r="G1164" s="95">
        <v>89.01</v>
      </c>
      <c r="H1164" s="147">
        <f t="shared" si="115"/>
        <v>89.01</v>
      </c>
    </row>
    <row r="1165" spans="2:8" ht="51">
      <c r="B1165" s="145">
        <v>12039</v>
      </c>
      <c r="C1165" s="98" t="s">
        <v>2100</v>
      </c>
      <c r="D1165" s="99" t="s">
        <v>12</v>
      </c>
      <c r="E1165" s="99" t="s">
        <v>37</v>
      </c>
      <c r="F1165" s="94">
        <v>1</v>
      </c>
      <c r="G1165" s="95">
        <v>827.91</v>
      </c>
      <c r="H1165" s="147">
        <f t="shared" si="115"/>
        <v>827.91</v>
      </c>
    </row>
    <row r="1166" spans="2:8" ht="25.5">
      <c r="B1166" s="145" t="s">
        <v>1625</v>
      </c>
      <c r="C1166" s="98" t="s">
        <v>1626</v>
      </c>
      <c r="D1166" s="99" t="s">
        <v>12</v>
      </c>
      <c r="E1166" s="99" t="s">
        <v>1129</v>
      </c>
      <c r="F1166" s="94">
        <v>14</v>
      </c>
      <c r="G1166" s="95">
        <v>19.84</v>
      </c>
      <c r="H1166" s="147">
        <f t="shared" si="115"/>
        <v>277.76</v>
      </c>
    </row>
    <row r="1167" spans="2:8" ht="25.5">
      <c r="B1167" s="145" t="s">
        <v>1627</v>
      </c>
      <c r="C1167" s="98" t="s">
        <v>1628</v>
      </c>
      <c r="D1167" s="99" t="s">
        <v>12</v>
      </c>
      <c r="E1167" s="99" t="s">
        <v>1129</v>
      </c>
      <c r="F1167" s="94">
        <v>14</v>
      </c>
      <c r="G1167" s="95">
        <v>25.32</v>
      </c>
      <c r="H1167" s="147">
        <f t="shared" si="115"/>
        <v>354.48</v>
      </c>
    </row>
    <row r="1168" spans="2:8">
      <c r="B1168" s="630" t="s">
        <v>1232</v>
      </c>
      <c r="C1168" s="631"/>
      <c r="D1168" s="631"/>
      <c r="E1168" s="631"/>
      <c r="F1168" s="631"/>
      <c r="G1168" s="632"/>
      <c r="H1168" s="148">
        <f>SUM(H1162:H1167)</f>
        <v>1968.0407499999999</v>
      </c>
    </row>
    <row r="1169" spans="2:8">
      <c r="B1169" s="621"/>
      <c r="C1169" s="622"/>
      <c r="D1169" s="622"/>
      <c r="E1169" s="622"/>
      <c r="F1169" s="622"/>
      <c r="G1169" s="622"/>
      <c r="H1169" s="623"/>
    </row>
    <row r="1170" spans="2:8" ht="25.5" customHeight="1">
      <c r="B1170" s="139" t="s">
        <v>2101</v>
      </c>
      <c r="C1170" s="140" t="s">
        <v>824</v>
      </c>
      <c r="D1170" s="141" t="s">
        <v>12</v>
      </c>
      <c r="E1170" s="141" t="s">
        <v>663</v>
      </c>
      <c r="F1170" s="142"/>
      <c r="G1170" s="143"/>
      <c r="H1170" s="144"/>
    </row>
    <row r="1171" spans="2:8" ht="25.5">
      <c r="B1171" s="145" t="s">
        <v>1662</v>
      </c>
      <c r="C1171" s="98" t="s">
        <v>1663</v>
      </c>
      <c r="D1171" s="99" t="s">
        <v>401</v>
      </c>
      <c r="E1171" s="99" t="s">
        <v>37</v>
      </c>
      <c r="F1171" s="94">
        <v>1</v>
      </c>
      <c r="G1171" s="95">
        <f>147.5*1.2217</f>
        <v>180.20075</v>
      </c>
      <c r="H1171" s="147">
        <f>F1171*G1171</f>
        <v>180.20075</v>
      </c>
    </row>
    <row r="1172" spans="2:8" ht="25.5">
      <c r="B1172" s="145">
        <v>2370</v>
      </c>
      <c r="C1172" s="98" t="s">
        <v>1660</v>
      </c>
      <c r="D1172" s="99" t="s">
        <v>401</v>
      </c>
      <c r="E1172" s="99" t="s">
        <v>37</v>
      </c>
      <c r="F1172" s="94">
        <v>11</v>
      </c>
      <c r="G1172" s="95">
        <v>13.26</v>
      </c>
      <c r="H1172" s="147">
        <f t="shared" ref="H1172:H1176" si="116">F1172*G1172</f>
        <v>145.85999999999999</v>
      </c>
    </row>
    <row r="1173" spans="2:8" ht="25.5">
      <c r="B1173" s="145">
        <v>2392</v>
      </c>
      <c r="C1173" s="98" t="s">
        <v>1657</v>
      </c>
      <c r="D1173" s="99" t="s">
        <v>401</v>
      </c>
      <c r="E1173" s="99" t="s">
        <v>37</v>
      </c>
      <c r="F1173" s="94">
        <v>1</v>
      </c>
      <c r="G1173" s="95">
        <v>89.01</v>
      </c>
      <c r="H1173" s="147">
        <f t="shared" si="116"/>
        <v>89.01</v>
      </c>
    </row>
    <row r="1174" spans="2:8" ht="51">
      <c r="B1174" s="145">
        <v>13395</v>
      </c>
      <c r="C1174" s="98" t="s">
        <v>2098</v>
      </c>
      <c r="D1174" s="99" t="s">
        <v>12</v>
      </c>
      <c r="E1174" s="99" t="s">
        <v>37</v>
      </c>
      <c r="F1174" s="94">
        <v>1</v>
      </c>
      <c r="G1174" s="95">
        <v>787.82</v>
      </c>
      <c r="H1174" s="147">
        <f t="shared" si="116"/>
        <v>787.82</v>
      </c>
    </row>
    <row r="1175" spans="2:8" ht="25.5">
      <c r="B1175" s="145" t="s">
        <v>1625</v>
      </c>
      <c r="C1175" s="98" t="s">
        <v>1626</v>
      </c>
      <c r="D1175" s="99" t="s">
        <v>12</v>
      </c>
      <c r="E1175" s="99" t="s">
        <v>1129</v>
      </c>
      <c r="F1175" s="94">
        <v>10</v>
      </c>
      <c r="G1175" s="95">
        <v>19.84</v>
      </c>
      <c r="H1175" s="147">
        <f t="shared" si="116"/>
        <v>198.4</v>
      </c>
    </row>
    <row r="1176" spans="2:8" ht="25.5">
      <c r="B1176" s="145" t="s">
        <v>1627</v>
      </c>
      <c r="C1176" s="98" t="s">
        <v>1628</v>
      </c>
      <c r="D1176" s="99" t="s">
        <v>12</v>
      </c>
      <c r="E1176" s="99" t="s">
        <v>1129</v>
      </c>
      <c r="F1176" s="94">
        <v>10</v>
      </c>
      <c r="G1176" s="95">
        <v>25.32</v>
      </c>
      <c r="H1176" s="147">
        <f t="shared" si="116"/>
        <v>253.2</v>
      </c>
    </row>
    <row r="1177" spans="2:8">
      <c r="B1177" s="630" t="s">
        <v>1232</v>
      </c>
      <c r="C1177" s="631"/>
      <c r="D1177" s="631"/>
      <c r="E1177" s="631"/>
      <c r="F1177" s="631"/>
      <c r="G1177" s="632"/>
      <c r="H1177" s="148">
        <f>SUM(H1171:H1176)</f>
        <v>1654.4907500000002</v>
      </c>
    </row>
    <row r="1178" spans="2:8">
      <c r="B1178" s="639"/>
      <c r="C1178" s="640"/>
      <c r="D1178" s="640"/>
      <c r="E1178" s="640"/>
      <c r="F1178" s="640"/>
      <c r="G1178" s="640"/>
      <c r="H1178" s="641"/>
    </row>
    <row r="1179" spans="2:8" ht="25.5" customHeight="1">
      <c r="B1179" s="92" t="s">
        <v>2102</v>
      </c>
      <c r="C1179" s="138" t="s">
        <v>825</v>
      </c>
      <c r="D1179" s="93" t="s">
        <v>12</v>
      </c>
      <c r="E1179" s="93" t="s">
        <v>663</v>
      </c>
      <c r="F1179" s="94"/>
      <c r="G1179" s="95"/>
      <c r="H1179" s="96"/>
    </row>
    <row r="1180" spans="2:8" ht="25.5">
      <c r="B1180" s="97" t="s">
        <v>1662</v>
      </c>
      <c r="C1180" s="98" t="s">
        <v>1663</v>
      </c>
      <c r="D1180" s="99" t="s">
        <v>401</v>
      </c>
      <c r="E1180" s="99" t="s">
        <v>37</v>
      </c>
      <c r="F1180" s="94">
        <v>1</v>
      </c>
      <c r="G1180" s="95">
        <f>147.5*1.2217</f>
        <v>180.20075</v>
      </c>
      <c r="H1180" s="96">
        <f>F1180*G1180</f>
        <v>180.20075</v>
      </c>
    </row>
    <row r="1181" spans="2:8" ht="51">
      <c r="B1181" s="97">
        <v>12043</v>
      </c>
      <c r="C1181" s="98" t="s">
        <v>1659</v>
      </c>
      <c r="D1181" s="99" t="s">
        <v>401</v>
      </c>
      <c r="E1181" s="99" t="s">
        <v>37</v>
      </c>
      <c r="F1181" s="94">
        <v>1</v>
      </c>
      <c r="G1181" s="95">
        <v>2004.63</v>
      </c>
      <c r="H1181" s="96">
        <f t="shared" ref="H1181:H1185" si="117">F1181*G1181</f>
        <v>2004.63</v>
      </c>
    </row>
    <row r="1182" spans="2:8" ht="25.5">
      <c r="B1182" s="97">
        <v>2370</v>
      </c>
      <c r="C1182" s="98" t="s">
        <v>1660</v>
      </c>
      <c r="D1182" s="99" t="s">
        <v>401</v>
      </c>
      <c r="E1182" s="99" t="s">
        <v>37</v>
      </c>
      <c r="F1182" s="94">
        <v>26</v>
      </c>
      <c r="G1182" s="95">
        <v>13.26</v>
      </c>
      <c r="H1182" s="96">
        <f t="shared" si="117"/>
        <v>344.76</v>
      </c>
    </row>
    <row r="1183" spans="2:8" ht="25.5">
      <c r="B1183" s="97">
        <v>2373</v>
      </c>
      <c r="C1183" s="98" t="s">
        <v>1656</v>
      </c>
      <c r="D1183" s="99" t="s">
        <v>401</v>
      </c>
      <c r="E1183" s="99" t="s">
        <v>37</v>
      </c>
      <c r="F1183" s="94">
        <v>1</v>
      </c>
      <c r="G1183" s="95">
        <v>125.41</v>
      </c>
      <c r="H1183" s="96">
        <f t="shared" si="117"/>
        <v>125.41</v>
      </c>
    </row>
    <row r="1184" spans="2:8" ht="25.5">
      <c r="B1184" s="97" t="s">
        <v>1625</v>
      </c>
      <c r="C1184" s="98" t="s">
        <v>1626</v>
      </c>
      <c r="D1184" s="99" t="s">
        <v>12</v>
      </c>
      <c r="E1184" s="99" t="s">
        <v>1129</v>
      </c>
      <c r="F1184" s="94">
        <v>16</v>
      </c>
      <c r="G1184" s="95">
        <v>19.84</v>
      </c>
      <c r="H1184" s="96">
        <f t="shared" si="117"/>
        <v>317.44</v>
      </c>
    </row>
    <row r="1185" spans="2:8" ht="25.5">
      <c r="B1185" s="97" t="s">
        <v>1627</v>
      </c>
      <c r="C1185" s="98" t="s">
        <v>1628</v>
      </c>
      <c r="D1185" s="99" t="s">
        <v>12</v>
      </c>
      <c r="E1185" s="99" t="s">
        <v>1129</v>
      </c>
      <c r="F1185" s="94">
        <v>16</v>
      </c>
      <c r="G1185" s="95">
        <v>25.32</v>
      </c>
      <c r="H1185" s="96">
        <f t="shared" si="117"/>
        <v>405.12</v>
      </c>
    </row>
    <row r="1186" spans="2:8">
      <c r="B1186" s="636" t="s">
        <v>1232</v>
      </c>
      <c r="C1186" s="637"/>
      <c r="D1186" s="637"/>
      <c r="E1186" s="637"/>
      <c r="F1186" s="637"/>
      <c r="G1186" s="638"/>
      <c r="H1186" s="100">
        <f>SUM(H1180:H1185)</f>
        <v>3377.5607500000001</v>
      </c>
    </row>
    <row r="1187" spans="2:8">
      <c r="B1187" s="636"/>
      <c r="C1187" s="637"/>
      <c r="D1187" s="637"/>
      <c r="E1187" s="637"/>
      <c r="F1187" s="637"/>
      <c r="G1187" s="637"/>
      <c r="H1187" s="638"/>
    </row>
    <row r="1188" spans="2:8" ht="25.5" customHeight="1">
      <c r="B1188" s="92" t="s">
        <v>2103</v>
      </c>
      <c r="C1188" s="138" t="s">
        <v>826</v>
      </c>
      <c r="D1188" s="93" t="s">
        <v>12</v>
      </c>
      <c r="E1188" s="93" t="s">
        <v>663</v>
      </c>
      <c r="F1188" s="94"/>
      <c r="G1188" s="95"/>
      <c r="H1188" s="96"/>
    </row>
    <row r="1189" spans="2:8" ht="25.5">
      <c r="B1189" s="97" t="s">
        <v>1662</v>
      </c>
      <c r="C1189" s="98" t="s">
        <v>1663</v>
      </c>
      <c r="D1189" s="99" t="s">
        <v>401</v>
      </c>
      <c r="E1189" s="99" t="s">
        <v>37</v>
      </c>
      <c r="F1189" s="94">
        <v>1</v>
      </c>
      <c r="G1189" s="95">
        <f>147.5*1.2217</f>
        <v>180.20075</v>
      </c>
      <c r="H1189" s="96">
        <f>F1189*G1189</f>
        <v>180.20075</v>
      </c>
    </row>
    <row r="1190" spans="2:8" ht="25.5">
      <c r="B1190" s="97">
        <v>2370</v>
      </c>
      <c r="C1190" s="98" t="s">
        <v>1660</v>
      </c>
      <c r="D1190" s="99" t="s">
        <v>401</v>
      </c>
      <c r="E1190" s="99" t="s">
        <v>37</v>
      </c>
      <c r="F1190" s="94">
        <v>29</v>
      </c>
      <c r="G1190" s="95">
        <v>13.26</v>
      </c>
      <c r="H1190" s="96">
        <f t="shared" ref="H1190:H1194" si="118">F1190*G1190</f>
        <v>384.54</v>
      </c>
    </row>
    <row r="1191" spans="2:8" ht="25.5">
      <c r="B1191" s="97">
        <v>2373</v>
      </c>
      <c r="C1191" s="98" t="s">
        <v>1656</v>
      </c>
      <c r="D1191" s="99" t="s">
        <v>401</v>
      </c>
      <c r="E1191" s="99" t="s">
        <v>37</v>
      </c>
      <c r="F1191" s="94">
        <v>1</v>
      </c>
      <c r="G1191" s="95">
        <v>125.41</v>
      </c>
      <c r="H1191" s="96">
        <f t="shared" si="118"/>
        <v>125.41</v>
      </c>
    </row>
    <row r="1192" spans="2:8" ht="51">
      <c r="B1192" s="97">
        <v>12043</v>
      </c>
      <c r="C1192" s="98" t="s">
        <v>2104</v>
      </c>
      <c r="D1192" s="99" t="s">
        <v>12</v>
      </c>
      <c r="E1192" s="99" t="s">
        <v>37</v>
      </c>
      <c r="F1192" s="94">
        <v>1</v>
      </c>
      <c r="G1192" s="95">
        <v>2004.63</v>
      </c>
      <c r="H1192" s="96">
        <f t="shared" si="118"/>
        <v>2004.63</v>
      </c>
    </row>
    <row r="1193" spans="2:8" ht="25.5">
      <c r="B1193" s="97" t="s">
        <v>1625</v>
      </c>
      <c r="C1193" s="98" t="s">
        <v>1626</v>
      </c>
      <c r="D1193" s="99" t="s">
        <v>12</v>
      </c>
      <c r="E1193" s="99" t="s">
        <v>1129</v>
      </c>
      <c r="F1193" s="94">
        <v>20</v>
      </c>
      <c r="G1193" s="95">
        <v>19.84</v>
      </c>
      <c r="H1193" s="96">
        <f t="shared" si="118"/>
        <v>396.8</v>
      </c>
    </row>
    <row r="1194" spans="2:8" ht="25.5">
      <c r="B1194" s="97" t="s">
        <v>1627</v>
      </c>
      <c r="C1194" s="98" t="s">
        <v>1628</v>
      </c>
      <c r="D1194" s="99" t="s">
        <v>12</v>
      </c>
      <c r="E1194" s="99" t="s">
        <v>1129</v>
      </c>
      <c r="F1194" s="94">
        <v>20</v>
      </c>
      <c r="G1194" s="95">
        <v>25.32</v>
      </c>
      <c r="H1194" s="96">
        <f t="shared" si="118"/>
        <v>506.4</v>
      </c>
    </row>
    <row r="1195" spans="2:8">
      <c r="B1195" s="636" t="s">
        <v>1232</v>
      </c>
      <c r="C1195" s="637"/>
      <c r="D1195" s="637"/>
      <c r="E1195" s="637"/>
      <c r="F1195" s="637"/>
      <c r="G1195" s="638"/>
      <c r="H1195" s="100">
        <f>SUM(H1189:H1194)</f>
        <v>3597.9807500000002</v>
      </c>
    </row>
    <row r="1196" spans="2:8">
      <c r="B1196" s="621"/>
      <c r="C1196" s="622"/>
      <c r="D1196" s="622"/>
      <c r="E1196" s="622"/>
      <c r="F1196" s="622"/>
      <c r="G1196" s="622"/>
      <c r="H1196" s="623"/>
    </row>
    <row r="1197" spans="2:8" ht="25.5" customHeight="1">
      <c r="B1197" s="139" t="s">
        <v>2105</v>
      </c>
      <c r="C1197" s="140" t="s">
        <v>827</v>
      </c>
      <c r="D1197" s="141" t="s">
        <v>12</v>
      </c>
      <c r="E1197" s="141" t="s">
        <v>663</v>
      </c>
      <c r="F1197" s="142"/>
      <c r="G1197" s="143"/>
      <c r="H1197" s="144"/>
    </row>
    <row r="1198" spans="2:8" ht="25.5">
      <c r="B1198" s="145" t="s">
        <v>1662</v>
      </c>
      <c r="C1198" s="98" t="s">
        <v>1663</v>
      </c>
      <c r="D1198" s="99" t="s">
        <v>401</v>
      </c>
      <c r="E1198" s="99" t="s">
        <v>37</v>
      </c>
      <c r="F1198" s="94">
        <v>1</v>
      </c>
      <c r="G1198" s="95">
        <f>147.5*1.2217</f>
        <v>180.20075</v>
      </c>
      <c r="H1198" s="147">
        <f>F1198*G1198</f>
        <v>180.20075</v>
      </c>
    </row>
    <row r="1199" spans="2:8" ht="25.5">
      <c r="B1199" s="145">
        <v>2370</v>
      </c>
      <c r="C1199" s="98" t="s">
        <v>1660</v>
      </c>
      <c r="D1199" s="99" t="s">
        <v>401</v>
      </c>
      <c r="E1199" s="99" t="s">
        <v>37</v>
      </c>
      <c r="F1199" s="94">
        <v>33</v>
      </c>
      <c r="G1199" s="95">
        <v>13.26</v>
      </c>
      <c r="H1199" s="147">
        <f t="shared" ref="H1199:H1203" si="119">F1199*G1199</f>
        <v>437.58</v>
      </c>
    </row>
    <row r="1200" spans="2:8" ht="25.5">
      <c r="B1200" s="145">
        <v>2373</v>
      </c>
      <c r="C1200" s="98" t="s">
        <v>1656</v>
      </c>
      <c r="D1200" s="99" t="s">
        <v>401</v>
      </c>
      <c r="E1200" s="99" t="s">
        <v>37</v>
      </c>
      <c r="F1200" s="94">
        <v>1</v>
      </c>
      <c r="G1200" s="95">
        <v>125.41</v>
      </c>
      <c r="H1200" s="147">
        <f t="shared" si="119"/>
        <v>125.41</v>
      </c>
    </row>
    <row r="1201" spans="2:8" ht="51">
      <c r="B1201" s="145">
        <v>12043</v>
      </c>
      <c r="C1201" s="98" t="s">
        <v>2104</v>
      </c>
      <c r="D1201" s="99" t="s">
        <v>12</v>
      </c>
      <c r="E1201" s="99" t="s">
        <v>37</v>
      </c>
      <c r="F1201" s="94">
        <v>1</v>
      </c>
      <c r="G1201" s="95">
        <v>2004.63</v>
      </c>
      <c r="H1201" s="147">
        <f t="shared" si="119"/>
        <v>2004.63</v>
      </c>
    </row>
    <row r="1202" spans="2:8" ht="25.5">
      <c r="B1202" s="145" t="s">
        <v>1625</v>
      </c>
      <c r="C1202" s="98" t="s">
        <v>1626</v>
      </c>
      <c r="D1202" s="99" t="s">
        <v>12</v>
      </c>
      <c r="E1202" s="99" t="s">
        <v>1129</v>
      </c>
      <c r="F1202" s="94">
        <v>22</v>
      </c>
      <c r="G1202" s="95">
        <v>19.84</v>
      </c>
      <c r="H1202" s="147">
        <f t="shared" si="119"/>
        <v>436.48</v>
      </c>
    </row>
    <row r="1203" spans="2:8" ht="25.5">
      <c r="B1203" s="145" t="s">
        <v>1627</v>
      </c>
      <c r="C1203" s="98" t="s">
        <v>1628</v>
      </c>
      <c r="D1203" s="99" t="s">
        <v>12</v>
      </c>
      <c r="E1203" s="99" t="s">
        <v>1129</v>
      </c>
      <c r="F1203" s="94">
        <v>22</v>
      </c>
      <c r="G1203" s="95">
        <v>25.32</v>
      </c>
      <c r="H1203" s="147">
        <f t="shared" si="119"/>
        <v>557.04</v>
      </c>
    </row>
    <row r="1204" spans="2:8">
      <c r="B1204" s="630" t="s">
        <v>1232</v>
      </c>
      <c r="C1204" s="631"/>
      <c r="D1204" s="631"/>
      <c r="E1204" s="631"/>
      <c r="F1204" s="631"/>
      <c r="G1204" s="632"/>
      <c r="H1204" s="148">
        <f>SUM(H1198:H1203)</f>
        <v>3741.3407499999998</v>
      </c>
    </row>
    <row r="1205" spans="2:8">
      <c r="B1205" s="627"/>
      <c r="C1205" s="628"/>
      <c r="D1205" s="628"/>
      <c r="E1205" s="628"/>
      <c r="F1205" s="628"/>
      <c r="G1205" s="628"/>
      <c r="H1205" s="629"/>
    </row>
    <row r="1206" spans="2:8" ht="25.5" customHeight="1">
      <c r="B1206" s="139" t="s">
        <v>2106</v>
      </c>
      <c r="C1206" s="140" t="s">
        <v>828</v>
      </c>
      <c r="D1206" s="141" t="s">
        <v>12</v>
      </c>
      <c r="E1206" s="141" t="s">
        <v>663</v>
      </c>
      <c r="F1206" s="142"/>
      <c r="G1206" s="143"/>
      <c r="H1206" s="144"/>
    </row>
    <row r="1207" spans="2:8" ht="25.5">
      <c r="B1207" s="145">
        <v>2370</v>
      </c>
      <c r="C1207" s="98" t="s">
        <v>1660</v>
      </c>
      <c r="D1207" s="99" t="s">
        <v>401</v>
      </c>
      <c r="E1207" s="99" t="s">
        <v>37</v>
      </c>
      <c r="F1207" s="94">
        <v>11</v>
      </c>
      <c r="G1207" s="95">
        <v>13.26</v>
      </c>
      <c r="H1207" s="147">
        <f>F1207*G1207</f>
        <v>145.85999999999999</v>
      </c>
    </row>
    <row r="1208" spans="2:8" ht="25.5">
      <c r="B1208" s="145">
        <v>2392</v>
      </c>
      <c r="C1208" s="98" t="s">
        <v>1657</v>
      </c>
      <c r="D1208" s="99" t="s">
        <v>401</v>
      </c>
      <c r="E1208" s="99" t="s">
        <v>37</v>
      </c>
      <c r="F1208" s="94">
        <v>1</v>
      </c>
      <c r="G1208" s="95">
        <v>89.01</v>
      </c>
      <c r="H1208" s="147">
        <f t="shared" ref="H1208:H1212" si="120">F1208*G1208</f>
        <v>89.01</v>
      </c>
    </row>
    <row r="1209" spans="2:8" ht="25.5">
      <c r="B1209" s="145" t="s">
        <v>2825</v>
      </c>
      <c r="C1209" s="98" t="s">
        <v>1658</v>
      </c>
      <c r="D1209" s="99" t="s">
        <v>401</v>
      </c>
      <c r="E1209" s="99" t="s">
        <v>37</v>
      </c>
      <c r="F1209" s="94">
        <v>1</v>
      </c>
      <c r="G1209" s="95">
        <v>263</v>
      </c>
      <c r="H1209" s="147">
        <f t="shared" si="120"/>
        <v>263</v>
      </c>
    </row>
    <row r="1210" spans="2:8" ht="51">
      <c r="B1210" s="145">
        <v>13395</v>
      </c>
      <c r="C1210" s="98" t="s">
        <v>2098</v>
      </c>
      <c r="D1210" s="99" t="s">
        <v>12</v>
      </c>
      <c r="E1210" s="99" t="s">
        <v>37</v>
      </c>
      <c r="F1210" s="94">
        <v>1</v>
      </c>
      <c r="G1210" s="95">
        <v>787.82</v>
      </c>
      <c r="H1210" s="147">
        <f t="shared" si="120"/>
        <v>787.82</v>
      </c>
    </row>
    <row r="1211" spans="2:8" ht="25.5">
      <c r="B1211" s="145" t="s">
        <v>1625</v>
      </c>
      <c r="C1211" s="98" t="s">
        <v>1626</v>
      </c>
      <c r="D1211" s="99" t="s">
        <v>12</v>
      </c>
      <c r="E1211" s="99" t="s">
        <v>1129</v>
      </c>
      <c r="F1211" s="94">
        <v>10</v>
      </c>
      <c r="G1211" s="95">
        <v>19.84</v>
      </c>
      <c r="H1211" s="147">
        <f t="shared" si="120"/>
        <v>198.4</v>
      </c>
    </row>
    <row r="1212" spans="2:8" ht="25.5">
      <c r="B1212" s="145" t="s">
        <v>1627</v>
      </c>
      <c r="C1212" s="98" t="s">
        <v>1628</v>
      </c>
      <c r="D1212" s="99" t="s">
        <v>12</v>
      </c>
      <c r="E1212" s="99" t="s">
        <v>1129</v>
      </c>
      <c r="F1212" s="94">
        <v>10</v>
      </c>
      <c r="G1212" s="95">
        <v>25.32</v>
      </c>
      <c r="H1212" s="147">
        <f t="shared" si="120"/>
        <v>253.2</v>
      </c>
    </row>
    <row r="1213" spans="2:8">
      <c r="B1213" s="630" t="s">
        <v>1232</v>
      </c>
      <c r="C1213" s="631"/>
      <c r="D1213" s="631"/>
      <c r="E1213" s="631"/>
      <c r="F1213" s="631"/>
      <c r="G1213" s="632"/>
      <c r="H1213" s="148">
        <f>SUM(H1207:H1212)</f>
        <v>1737.2900000000002</v>
      </c>
    </row>
    <row r="1214" spans="2:8">
      <c r="B1214" s="627"/>
      <c r="C1214" s="628"/>
      <c r="D1214" s="628"/>
      <c r="E1214" s="628"/>
      <c r="F1214" s="628"/>
      <c r="G1214" s="628"/>
      <c r="H1214" s="629"/>
    </row>
    <row r="1215" spans="2:8" ht="25.5">
      <c r="B1215" s="139" t="s">
        <v>2107</v>
      </c>
      <c r="C1215" s="140" t="s">
        <v>875</v>
      </c>
      <c r="D1215" s="141" t="s">
        <v>12</v>
      </c>
      <c r="E1215" s="141" t="s">
        <v>37</v>
      </c>
      <c r="F1215" s="142"/>
      <c r="G1215" s="143"/>
      <c r="H1215" s="144"/>
    </row>
    <row r="1216" spans="2:8" ht="25.5">
      <c r="B1216" s="145">
        <v>1106</v>
      </c>
      <c r="C1216" s="98" t="s">
        <v>1651</v>
      </c>
      <c r="D1216" s="99" t="s">
        <v>401</v>
      </c>
      <c r="E1216" s="99" t="s">
        <v>112</v>
      </c>
      <c r="F1216" s="94">
        <v>3.0095999999999998</v>
      </c>
      <c r="G1216" s="95">
        <v>0.98</v>
      </c>
      <c r="H1216" s="147">
        <f>F1216*G1216</f>
        <v>2.9494079999999996</v>
      </c>
    </row>
    <row r="1217" spans="2:8" ht="38.25">
      <c r="B1217" s="145">
        <v>1358</v>
      </c>
      <c r="C1217" s="98" t="s">
        <v>1342</v>
      </c>
      <c r="D1217" s="99" t="s">
        <v>401</v>
      </c>
      <c r="E1217" s="99" t="s">
        <v>24</v>
      </c>
      <c r="F1217" s="94" t="s">
        <v>1276</v>
      </c>
      <c r="G1217" s="95">
        <v>57.39</v>
      </c>
      <c r="H1217" s="147">
        <f t="shared" ref="H1217:H1226" si="121">F1217*G1217</f>
        <v>3.4434</v>
      </c>
    </row>
    <row r="1218" spans="2:8" ht="25.5">
      <c r="B1218" s="145">
        <v>1379</v>
      </c>
      <c r="C1218" s="98" t="s">
        <v>1517</v>
      </c>
      <c r="D1218" s="99" t="s">
        <v>401</v>
      </c>
      <c r="E1218" s="99" t="s">
        <v>112</v>
      </c>
      <c r="F1218" s="94">
        <v>18.508400000000002</v>
      </c>
      <c r="G1218" s="95">
        <v>0.62</v>
      </c>
      <c r="H1218" s="147">
        <f t="shared" si="121"/>
        <v>11.475208</v>
      </c>
    </row>
    <row r="1219" spans="2:8" ht="38.25">
      <c r="B1219" s="145">
        <v>14112</v>
      </c>
      <c r="C1219" s="98" t="s">
        <v>1652</v>
      </c>
      <c r="D1219" s="99" t="s">
        <v>401</v>
      </c>
      <c r="E1219" s="99" t="s">
        <v>37</v>
      </c>
      <c r="F1219" s="94">
        <v>1</v>
      </c>
      <c r="G1219" s="95">
        <v>337.67</v>
      </c>
      <c r="H1219" s="147">
        <f t="shared" si="121"/>
        <v>337.67</v>
      </c>
    </row>
    <row r="1220" spans="2:8" ht="38.25">
      <c r="B1220" s="145">
        <v>370</v>
      </c>
      <c r="C1220" s="98" t="s">
        <v>1560</v>
      </c>
      <c r="D1220" s="99" t="s">
        <v>401</v>
      </c>
      <c r="E1220" s="99" t="s">
        <v>75</v>
      </c>
      <c r="F1220" s="94" t="s">
        <v>1664</v>
      </c>
      <c r="G1220" s="95">
        <v>141</v>
      </c>
      <c r="H1220" s="147">
        <f t="shared" si="121"/>
        <v>9.2073</v>
      </c>
    </row>
    <row r="1221" spans="2:8">
      <c r="B1221" s="145">
        <v>43059</v>
      </c>
      <c r="C1221" s="98" t="s">
        <v>1653</v>
      </c>
      <c r="D1221" s="99" t="s">
        <v>401</v>
      </c>
      <c r="E1221" s="99" t="s">
        <v>112</v>
      </c>
      <c r="F1221" s="94">
        <v>2.1560000000000001</v>
      </c>
      <c r="G1221" s="95">
        <v>10.84</v>
      </c>
      <c r="H1221" s="147">
        <f t="shared" si="121"/>
        <v>23.371040000000001</v>
      </c>
    </row>
    <row r="1222" spans="2:8" ht="38.25">
      <c r="B1222" s="145">
        <v>4721</v>
      </c>
      <c r="C1222" s="98" t="s">
        <v>1654</v>
      </c>
      <c r="D1222" s="99" t="s">
        <v>401</v>
      </c>
      <c r="E1222" s="99" t="s">
        <v>75</v>
      </c>
      <c r="F1222" s="94" t="s">
        <v>1346</v>
      </c>
      <c r="G1222" s="95">
        <v>134.31</v>
      </c>
      <c r="H1222" s="147">
        <f t="shared" si="121"/>
        <v>4.9023149999999998</v>
      </c>
    </row>
    <row r="1223" spans="2:8" ht="38.25">
      <c r="B1223" s="145">
        <v>4722</v>
      </c>
      <c r="C1223" s="98" t="s">
        <v>1340</v>
      </c>
      <c r="D1223" s="99" t="s">
        <v>401</v>
      </c>
      <c r="E1223" s="99" t="s">
        <v>75</v>
      </c>
      <c r="F1223" s="94" t="s">
        <v>1345</v>
      </c>
      <c r="G1223" s="95">
        <v>126.87</v>
      </c>
      <c r="H1223" s="147">
        <f t="shared" si="121"/>
        <v>0.50748000000000004</v>
      </c>
    </row>
    <row r="1224" spans="2:8" ht="25.5">
      <c r="B1224" s="145">
        <v>7258</v>
      </c>
      <c r="C1224" s="98" t="s">
        <v>1401</v>
      </c>
      <c r="D1224" s="99" t="s">
        <v>401</v>
      </c>
      <c r="E1224" s="99" t="s">
        <v>37</v>
      </c>
      <c r="F1224" s="94">
        <v>60.48</v>
      </c>
      <c r="G1224" s="95">
        <v>0.7</v>
      </c>
      <c r="H1224" s="147">
        <f t="shared" si="121"/>
        <v>42.335999999999999</v>
      </c>
    </row>
    <row r="1225" spans="2:8" ht="25.5">
      <c r="B1225" s="145" t="s">
        <v>1338</v>
      </c>
      <c r="C1225" s="98" t="s">
        <v>1339</v>
      </c>
      <c r="D1225" s="99" t="s">
        <v>12</v>
      </c>
      <c r="E1225" s="99" t="s">
        <v>1129</v>
      </c>
      <c r="F1225" s="94">
        <v>1.6789000000000001</v>
      </c>
      <c r="G1225" s="95">
        <v>25.07</v>
      </c>
      <c r="H1225" s="147">
        <f t="shared" si="121"/>
        <v>42.090023000000002</v>
      </c>
    </row>
    <row r="1226" spans="2:8" ht="25.5">
      <c r="B1226" s="145" t="s">
        <v>1286</v>
      </c>
      <c r="C1226" s="98" t="s">
        <v>1287</v>
      </c>
      <c r="D1226" s="99" t="s">
        <v>12</v>
      </c>
      <c r="E1226" s="99" t="s">
        <v>1129</v>
      </c>
      <c r="F1226" s="94">
        <v>4.4832000000000001</v>
      </c>
      <c r="G1226" s="95">
        <v>18.649999999999999</v>
      </c>
      <c r="H1226" s="147">
        <f t="shared" si="121"/>
        <v>83.611679999999993</v>
      </c>
    </row>
    <row r="1227" spans="2:8">
      <c r="B1227" s="630" t="s">
        <v>1232</v>
      </c>
      <c r="C1227" s="631"/>
      <c r="D1227" s="631"/>
      <c r="E1227" s="631"/>
      <c r="F1227" s="631"/>
      <c r="G1227" s="632"/>
      <c r="H1227" s="148">
        <f>SUM(H1216:H1226)</f>
        <v>561.56385399999999</v>
      </c>
    </row>
    <row r="1228" spans="2:8">
      <c r="B1228" s="627"/>
      <c r="C1228" s="628"/>
      <c r="D1228" s="628"/>
      <c r="E1228" s="628"/>
      <c r="F1228" s="628"/>
      <c r="G1228" s="628"/>
      <c r="H1228" s="629"/>
    </row>
    <row r="1229" spans="2:8" ht="63.75">
      <c r="B1229" s="139" t="s">
        <v>2108</v>
      </c>
      <c r="C1229" s="140" t="s">
        <v>891</v>
      </c>
      <c r="D1229" s="141" t="s">
        <v>12</v>
      </c>
      <c r="E1229" s="141" t="s">
        <v>15</v>
      </c>
      <c r="F1229" s="142"/>
      <c r="G1229" s="143"/>
      <c r="H1229" s="144"/>
    </row>
    <row r="1230" spans="2:8">
      <c r="B1230" s="145">
        <v>88247</v>
      </c>
      <c r="C1230" s="98" t="s">
        <v>1257</v>
      </c>
      <c r="D1230" s="99" t="s">
        <v>1229</v>
      </c>
      <c r="E1230" s="99" t="s">
        <v>1129</v>
      </c>
      <c r="F1230" s="94" t="s">
        <v>1562</v>
      </c>
      <c r="G1230" s="95">
        <v>19.84</v>
      </c>
      <c r="H1230" s="147">
        <f>F1230*G1230</f>
        <v>10.713600000000001</v>
      </c>
    </row>
    <row r="1231" spans="2:8">
      <c r="B1231" s="145">
        <v>88264</v>
      </c>
      <c r="C1231" s="98" t="s">
        <v>1258</v>
      </c>
      <c r="D1231" s="99" t="s">
        <v>1229</v>
      </c>
      <c r="E1231" s="99" t="s">
        <v>1129</v>
      </c>
      <c r="F1231" s="94" t="s">
        <v>1562</v>
      </c>
      <c r="G1231" s="95">
        <v>25.32</v>
      </c>
      <c r="H1231" s="147">
        <f t="shared" ref="H1231:H1241" si="122">F1231*G1231</f>
        <v>13.672800000000001</v>
      </c>
    </row>
    <row r="1232" spans="2:8" ht="25.5">
      <c r="B1232" s="145" t="s">
        <v>1665</v>
      </c>
      <c r="C1232" s="98" t="s">
        <v>1666</v>
      </c>
      <c r="D1232" s="99" t="s">
        <v>401</v>
      </c>
      <c r="E1232" s="99" t="s">
        <v>15</v>
      </c>
      <c r="F1232" s="94">
        <v>1.2</v>
      </c>
      <c r="G1232" s="95">
        <f>7.84*1.2217</f>
        <v>9.5781279999999995</v>
      </c>
      <c r="H1232" s="147">
        <f t="shared" si="122"/>
        <v>11.4937536</v>
      </c>
    </row>
    <row r="1233" spans="2:8" ht="38.25">
      <c r="B1233" s="145" t="s">
        <v>1667</v>
      </c>
      <c r="C1233" s="98" t="s">
        <v>1668</v>
      </c>
      <c r="D1233" s="99" t="s">
        <v>401</v>
      </c>
      <c r="E1233" s="99" t="s">
        <v>15</v>
      </c>
      <c r="F1233" s="94" t="s">
        <v>1469</v>
      </c>
      <c r="G1233" s="95">
        <f>3.91*1.2217</f>
        <v>4.7768470000000001</v>
      </c>
      <c r="H1233" s="147">
        <f t="shared" si="122"/>
        <v>3.8214776000000001</v>
      </c>
    </row>
    <row r="1234" spans="2:8">
      <c r="B1234" s="145">
        <v>39997</v>
      </c>
      <c r="C1234" s="98" t="s">
        <v>2109</v>
      </c>
      <c r="D1234" s="99" t="s">
        <v>401</v>
      </c>
      <c r="E1234" s="99" t="s">
        <v>37</v>
      </c>
      <c r="F1234" s="94">
        <v>8.0033333330000005</v>
      </c>
      <c r="G1234" s="95">
        <v>0.28000000000000003</v>
      </c>
      <c r="H1234" s="147">
        <f t="shared" si="122"/>
        <v>2.2409333332400005</v>
      </c>
    </row>
    <row r="1235" spans="2:8">
      <c r="B1235" s="145" t="s">
        <v>2826</v>
      </c>
      <c r="C1235" s="98" t="s">
        <v>2110</v>
      </c>
      <c r="D1235" s="99" t="s">
        <v>401</v>
      </c>
      <c r="E1235" s="99" t="s">
        <v>37</v>
      </c>
      <c r="F1235" s="94">
        <v>8.0033333330000005</v>
      </c>
      <c r="G1235" s="95">
        <v>0.05</v>
      </c>
      <c r="H1235" s="147">
        <f t="shared" si="122"/>
        <v>0.40016666665000006</v>
      </c>
    </row>
    <row r="1236" spans="2:8" ht="25.5">
      <c r="B1236" s="145" t="s">
        <v>2111</v>
      </c>
      <c r="C1236" s="98" t="s">
        <v>2112</v>
      </c>
      <c r="D1236" s="99" t="s">
        <v>401</v>
      </c>
      <c r="E1236" s="99" t="s">
        <v>37</v>
      </c>
      <c r="F1236" s="94" t="s">
        <v>1435</v>
      </c>
      <c r="G1236" s="95">
        <v>3.57</v>
      </c>
      <c r="H1236" s="147">
        <f t="shared" si="122"/>
        <v>2.3919000000000001</v>
      </c>
    </row>
    <row r="1237" spans="2:8">
      <c r="B1237" s="145" t="s">
        <v>1669</v>
      </c>
      <c r="C1237" s="98" t="s">
        <v>1670</v>
      </c>
      <c r="D1237" s="99" t="s">
        <v>401</v>
      </c>
      <c r="E1237" s="99" t="s">
        <v>37</v>
      </c>
      <c r="F1237" s="94" t="s">
        <v>1435</v>
      </c>
      <c r="G1237" s="95">
        <f>1.32*1.2217</f>
        <v>1.6126440000000002</v>
      </c>
      <c r="H1237" s="147">
        <f t="shared" si="122"/>
        <v>1.0804714800000002</v>
      </c>
    </row>
    <row r="1238" spans="2:8" ht="38.25">
      <c r="B1238" s="145" t="s">
        <v>2113</v>
      </c>
      <c r="C1238" s="98" t="s">
        <v>2114</v>
      </c>
      <c r="D1238" s="99" t="s">
        <v>401</v>
      </c>
      <c r="E1238" s="99" t="s">
        <v>37</v>
      </c>
      <c r="F1238" s="94">
        <v>0.18804985299999999</v>
      </c>
      <c r="G1238" s="95">
        <v>37.67</v>
      </c>
      <c r="H1238" s="147">
        <f t="shared" si="122"/>
        <v>7.0838379625099996</v>
      </c>
    </row>
    <row r="1239" spans="2:8">
      <c r="B1239" s="145" t="s">
        <v>2827</v>
      </c>
      <c r="C1239" s="98" t="s">
        <v>1671</v>
      </c>
      <c r="D1239" s="99" t="s">
        <v>401</v>
      </c>
      <c r="E1239" s="99" t="s">
        <v>37</v>
      </c>
      <c r="F1239" s="94">
        <v>2.67</v>
      </c>
      <c r="G1239" s="95">
        <v>0.3</v>
      </c>
      <c r="H1239" s="147">
        <f t="shared" si="122"/>
        <v>0.80099999999999993</v>
      </c>
    </row>
    <row r="1240" spans="2:8">
      <c r="B1240" s="145" t="s">
        <v>1672</v>
      </c>
      <c r="C1240" s="98" t="s">
        <v>1673</v>
      </c>
      <c r="D1240" s="99" t="s">
        <v>401</v>
      </c>
      <c r="E1240" s="99" t="s">
        <v>37</v>
      </c>
      <c r="F1240" s="94" t="s">
        <v>1674</v>
      </c>
      <c r="G1240" s="95">
        <f>3.72*1.2217</f>
        <v>4.5447240000000004</v>
      </c>
      <c r="H1240" s="147">
        <f t="shared" si="122"/>
        <v>3.029816001514908</v>
      </c>
    </row>
    <row r="1241" spans="2:8" ht="38.25">
      <c r="B1241" s="145" t="s">
        <v>1675</v>
      </c>
      <c r="C1241" s="98" t="s">
        <v>1676</v>
      </c>
      <c r="D1241" s="99" t="s">
        <v>401</v>
      </c>
      <c r="E1241" s="99" t="s">
        <v>37</v>
      </c>
      <c r="F1241" s="94">
        <v>2</v>
      </c>
      <c r="G1241" s="95">
        <f>0.85*1.2217</f>
        <v>1.0384450000000001</v>
      </c>
      <c r="H1241" s="147">
        <f t="shared" si="122"/>
        <v>2.0768900000000001</v>
      </c>
    </row>
    <row r="1242" spans="2:8">
      <c r="B1242" s="630" t="s">
        <v>1232</v>
      </c>
      <c r="C1242" s="631"/>
      <c r="D1242" s="631"/>
      <c r="E1242" s="631"/>
      <c r="F1242" s="631"/>
      <c r="G1242" s="632"/>
      <c r="H1242" s="148">
        <f>SUM(H1230:H1241)</f>
        <v>58.806646643914917</v>
      </c>
    </row>
    <row r="1243" spans="2:8">
      <c r="B1243" s="627"/>
      <c r="C1243" s="628"/>
      <c r="D1243" s="628"/>
      <c r="E1243" s="628"/>
      <c r="F1243" s="628"/>
      <c r="G1243" s="628"/>
      <c r="H1243" s="629"/>
    </row>
    <row r="1244" spans="2:8" ht="63.75">
      <c r="B1244" s="139" t="s">
        <v>2116</v>
      </c>
      <c r="C1244" s="140" t="s">
        <v>892</v>
      </c>
      <c r="D1244" s="141" t="s">
        <v>12</v>
      </c>
      <c r="E1244" s="141" t="s">
        <v>15</v>
      </c>
      <c r="F1244" s="142"/>
      <c r="G1244" s="143"/>
      <c r="H1244" s="144"/>
    </row>
    <row r="1245" spans="2:8">
      <c r="B1245" s="145">
        <v>88247</v>
      </c>
      <c r="C1245" s="98" t="s">
        <v>1257</v>
      </c>
      <c r="D1245" s="99" t="s">
        <v>1229</v>
      </c>
      <c r="E1245" s="99" t="s">
        <v>1129</v>
      </c>
      <c r="F1245" s="94" t="s">
        <v>1562</v>
      </c>
      <c r="G1245" s="95">
        <v>19.84</v>
      </c>
      <c r="H1245" s="147">
        <f>F1245*G1245</f>
        <v>10.713600000000001</v>
      </c>
    </row>
    <row r="1246" spans="2:8">
      <c r="B1246" s="145">
        <v>88264</v>
      </c>
      <c r="C1246" s="98" t="s">
        <v>1258</v>
      </c>
      <c r="D1246" s="99" t="s">
        <v>1229</v>
      </c>
      <c r="E1246" s="99" t="s">
        <v>1129</v>
      </c>
      <c r="F1246" s="94" t="s">
        <v>1562</v>
      </c>
      <c r="G1246" s="95">
        <v>25.32</v>
      </c>
      <c r="H1246" s="147">
        <f t="shared" ref="H1246:H1256" si="123">F1246*G1246</f>
        <v>13.672800000000001</v>
      </c>
    </row>
    <row r="1247" spans="2:8" ht="25.5">
      <c r="B1247" s="145" t="s">
        <v>1677</v>
      </c>
      <c r="C1247" s="98" t="s">
        <v>1678</v>
      </c>
      <c r="D1247" s="99" t="s">
        <v>401</v>
      </c>
      <c r="E1247" s="99" t="s">
        <v>15</v>
      </c>
      <c r="F1247" s="94">
        <v>1.2</v>
      </c>
      <c r="G1247" s="95">
        <f>6.73*1.2217</f>
        <v>8.2220410000000008</v>
      </c>
      <c r="H1247" s="147">
        <f t="shared" si="123"/>
        <v>9.8664491999999999</v>
      </c>
    </row>
    <row r="1248" spans="2:8" ht="38.25">
      <c r="B1248" s="145" t="s">
        <v>1667</v>
      </c>
      <c r="C1248" s="98" t="s">
        <v>1668</v>
      </c>
      <c r="D1248" s="99" t="s">
        <v>401</v>
      </c>
      <c r="E1248" s="99" t="s">
        <v>15</v>
      </c>
      <c r="F1248" s="94" t="s">
        <v>1469</v>
      </c>
      <c r="G1248" s="95">
        <f>3.91*1.2217</f>
        <v>4.7768470000000001</v>
      </c>
      <c r="H1248" s="147">
        <f t="shared" si="123"/>
        <v>3.8214776000000001</v>
      </c>
    </row>
    <row r="1249" spans="2:8">
      <c r="B1249" s="145">
        <v>39997</v>
      </c>
      <c r="C1249" s="98" t="s">
        <v>2109</v>
      </c>
      <c r="D1249" s="99" t="s">
        <v>401</v>
      </c>
      <c r="E1249" s="99" t="s">
        <v>37</v>
      </c>
      <c r="F1249" s="94">
        <v>4.0033333329999996</v>
      </c>
      <c r="G1249" s="95">
        <v>0.28000000000000003</v>
      </c>
      <c r="H1249" s="147">
        <f t="shared" si="123"/>
        <v>1.12093333324</v>
      </c>
    </row>
    <row r="1250" spans="2:8">
      <c r="B1250" s="145" t="s">
        <v>2826</v>
      </c>
      <c r="C1250" s="98" t="s">
        <v>2110</v>
      </c>
      <c r="D1250" s="99" t="s">
        <v>401</v>
      </c>
      <c r="E1250" s="99" t="s">
        <v>37</v>
      </c>
      <c r="F1250" s="94">
        <v>4.0033333329999996</v>
      </c>
      <c r="G1250" s="95">
        <v>0.05</v>
      </c>
      <c r="H1250" s="147">
        <f t="shared" si="123"/>
        <v>0.20016666664999999</v>
      </c>
    </row>
    <row r="1251" spans="2:8" ht="25.5">
      <c r="B1251" s="145" t="s">
        <v>2117</v>
      </c>
      <c r="C1251" s="98" t="s">
        <v>1679</v>
      </c>
      <c r="D1251" s="99" t="s">
        <v>401</v>
      </c>
      <c r="E1251" s="99" t="s">
        <v>37</v>
      </c>
      <c r="F1251" s="94" t="s">
        <v>1435</v>
      </c>
      <c r="G1251" s="95">
        <f>2.75*1.2217</f>
        <v>3.3596750000000002</v>
      </c>
      <c r="H1251" s="147">
        <f t="shared" si="123"/>
        <v>2.2509822500000003</v>
      </c>
    </row>
    <row r="1252" spans="2:8">
      <c r="B1252" s="145" t="s">
        <v>1669</v>
      </c>
      <c r="C1252" s="98" t="s">
        <v>1670</v>
      </c>
      <c r="D1252" s="99" t="s">
        <v>401</v>
      </c>
      <c r="E1252" s="99" t="s">
        <v>37</v>
      </c>
      <c r="F1252" s="94" t="s">
        <v>1435</v>
      </c>
      <c r="G1252" s="95">
        <f>1.32*1.2217</f>
        <v>1.6126440000000002</v>
      </c>
      <c r="H1252" s="147">
        <f t="shared" si="123"/>
        <v>1.0804714800000002</v>
      </c>
    </row>
    <row r="1253" spans="2:8">
      <c r="B1253" s="145" t="s">
        <v>2115</v>
      </c>
      <c r="C1253" s="98" t="s">
        <v>1671</v>
      </c>
      <c r="D1253" s="99" t="s">
        <v>401</v>
      </c>
      <c r="E1253" s="99" t="s">
        <v>37</v>
      </c>
      <c r="F1253" s="94">
        <v>2.67</v>
      </c>
      <c r="G1253" s="95">
        <v>0.3</v>
      </c>
      <c r="H1253" s="147">
        <f t="shared" si="123"/>
        <v>0.80099999999999993</v>
      </c>
    </row>
    <row r="1254" spans="2:8">
      <c r="B1254" s="145" t="s">
        <v>1672</v>
      </c>
      <c r="C1254" s="98" t="s">
        <v>1673</v>
      </c>
      <c r="D1254" s="99" t="s">
        <v>401</v>
      </c>
      <c r="E1254" s="99" t="s">
        <v>37</v>
      </c>
      <c r="F1254" s="94" t="s">
        <v>1674</v>
      </c>
      <c r="G1254" s="95">
        <f>3.72*1.2217</f>
        <v>4.5447240000000004</v>
      </c>
      <c r="H1254" s="147">
        <f t="shared" si="123"/>
        <v>3.029816001514908</v>
      </c>
    </row>
    <row r="1255" spans="2:8" ht="38.25">
      <c r="B1255" s="145" t="s">
        <v>2118</v>
      </c>
      <c r="C1255" s="98" t="s">
        <v>2119</v>
      </c>
      <c r="D1255" s="99" t="s">
        <v>401</v>
      </c>
      <c r="E1255" s="99" t="s">
        <v>37</v>
      </c>
      <c r="F1255" s="94">
        <v>0.317142857</v>
      </c>
      <c r="G1255" s="95">
        <f>21*1.1325</f>
        <v>23.782500000000002</v>
      </c>
      <c r="H1255" s="147">
        <f t="shared" si="123"/>
        <v>7.5424499966025005</v>
      </c>
    </row>
    <row r="1256" spans="2:8" ht="38.25">
      <c r="B1256" s="145" t="s">
        <v>1675</v>
      </c>
      <c r="C1256" s="98" t="s">
        <v>1676</v>
      </c>
      <c r="D1256" s="99" t="s">
        <v>401</v>
      </c>
      <c r="E1256" s="99" t="s">
        <v>37</v>
      </c>
      <c r="F1256" s="94">
        <v>2</v>
      </c>
      <c r="G1256" s="95">
        <f>0.85*1.2217</f>
        <v>1.0384450000000001</v>
      </c>
      <c r="H1256" s="147">
        <f t="shared" si="123"/>
        <v>2.0768900000000001</v>
      </c>
    </row>
    <row r="1257" spans="2:8">
      <c r="B1257" s="630" t="s">
        <v>1232</v>
      </c>
      <c r="C1257" s="631"/>
      <c r="D1257" s="631"/>
      <c r="E1257" s="631"/>
      <c r="F1257" s="631"/>
      <c r="G1257" s="632"/>
      <c r="H1257" s="148">
        <f>SUM(H1245:H1256)</f>
        <v>56.177036528007406</v>
      </c>
    </row>
    <row r="1258" spans="2:8">
      <c r="B1258" s="627"/>
      <c r="C1258" s="628"/>
      <c r="D1258" s="628"/>
      <c r="E1258" s="628"/>
      <c r="F1258" s="628"/>
      <c r="G1258" s="628"/>
      <c r="H1258" s="629"/>
    </row>
    <row r="1259" spans="2:8" ht="63.75">
      <c r="B1259" s="139" t="s">
        <v>2120</v>
      </c>
      <c r="C1259" s="140" t="s">
        <v>893</v>
      </c>
      <c r="D1259" s="141" t="s">
        <v>12</v>
      </c>
      <c r="E1259" s="141" t="s">
        <v>15</v>
      </c>
      <c r="F1259" s="142"/>
      <c r="G1259" s="143"/>
      <c r="H1259" s="144"/>
    </row>
    <row r="1260" spans="2:8">
      <c r="B1260" s="145">
        <v>88247</v>
      </c>
      <c r="C1260" s="98" t="s">
        <v>1257</v>
      </c>
      <c r="D1260" s="99" t="s">
        <v>1229</v>
      </c>
      <c r="E1260" s="99" t="s">
        <v>1129</v>
      </c>
      <c r="F1260" s="94" t="s">
        <v>1562</v>
      </c>
      <c r="G1260" s="95">
        <v>19.84</v>
      </c>
      <c r="H1260" s="147">
        <f>F1260*G1260</f>
        <v>10.713600000000001</v>
      </c>
    </row>
    <row r="1261" spans="2:8">
      <c r="B1261" s="145">
        <v>88264</v>
      </c>
      <c r="C1261" s="98" t="s">
        <v>1258</v>
      </c>
      <c r="D1261" s="99" t="s">
        <v>1229</v>
      </c>
      <c r="E1261" s="99" t="s">
        <v>1129</v>
      </c>
      <c r="F1261" s="94" t="s">
        <v>1562</v>
      </c>
      <c r="G1261" s="95">
        <v>25.32</v>
      </c>
      <c r="H1261" s="147">
        <f t="shared" ref="H1261:H1271" si="124">F1261*G1261</f>
        <v>13.672800000000001</v>
      </c>
    </row>
    <row r="1262" spans="2:8" ht="38.25">
      <c r="B1262" s="145" t="s">
        <v>1680</v>
      </c>
      <c r="C1262" s="98" t="s">
        <v>1681</v>
      </c>
      <c r="D1262" s="99" t="s">
        <v>401</v>
      </c>
      <c r="E1262" s="99" t="s">
        <v>15</v>
      </c>
      <c r="F1262" s="94">
        <v>1.2</v>
      </c>
      <c r="G1262" s="95">
        <f>10.59*1.2217</f>
        <v>12.937803000000001</v>
      </c>
      <c r="H1262" s="147">
        <f t="shared" si="124"/>
        <v>15.5253636</v>
      </c>
    </row>
    <row r="1263" spans="2:8" ht="38.25">
      <c r="B1263" s="145" t="s">
        <v>1667</v>
      </c>
      <c r="C1263" s="98" t="s">
        <v>1668</v>
      </c>
      <c r="D1263" s="99" t="s">
        <v>401</v>
      </c>
      <c r="E1263" s="99" t="s">
        <v>15</v>
      </c>
      <c r="F1263" s="94" t="s">
        <v>1469</v>
      </c>
      <c r="G1263" s="95">
        <f>3.91*1.2217</f>
        <v>4.7768470000000001</v>
      </c>
      <c r="H1263" s="147">
        <f t="shared" si="124"/>
        <v>3.8214776000000001</v>
      </c>
    </row>
    <row r="1264" spans="2:8">
      <c r="B1264" s="145">
        <v>39997</v>
      </c>
      <c r="C1264" s="98" t="s">
        <v>2109</v>
      </c>
      <c r="D1264" s="99" t="s">
        <v>401</v>
      </c>
      <c r="E1264" s="99" t="s">
        <v>37</v>
      </c>
      <c r="F1264" s="94">
        <v>4.0033333329999996</v>
      </c>
      <c r="G1264" s="95">
        <v>0.28000000000000003</v>
      </c>
      <c r="H1264" s="147">
        <f t="shared" si="124"/>
        <v>1.12093333324</v>
      </c>
    </row>
    <row r="1265" spans="2:8">
      <c r="B1265" s="145" t="s">
        <v>2826</v>
      </c>
      <c r="C1265" s="98" t="s">
        <v>2110</v>
      </c>
      <c r="D1265" s="99" t="s">
        <v>401</v>
      </c>
      <c r="E1265" s="99" t="s">
        <v>37</v>
      </c>
      <c r="F1265" s="94">
        <v>4.0033333329999996</v>
      </c>
      <c r="G1265" s="95">
        <v>0.05</v>
      </c>
      <c r="H1265" s="147">
        <f t="shared" si="124"/>
        <v>0.20016666664999999</v>
      </c>
    </row>
    <row r="1266" spans="2:8" ht="25.5">
      <c r="B1266" s="145" t="s">
        <v>2117</v>
      </c>
      <c r="C1266" s="98" t="s">
        <v>1679</v>
      </c>
      <c r="D1266" s="99" t="s">
        <v>401</v>
      </c>
      <c r="E1266" s="99" t="s">
        <v>37</v>
      </c>
      <c r="F1266" s="94" t="s">
        <v>1435</v>
      </c>
      <c r="G1266" s="95">
        <f>2.75*1.2217</f>
        <v>3.3596750000000002</v>
      </c>
      <c r="H1266" s="147">
        <f t="shared" si="124"/>
        <v>2.2509822500000003</v>
      </c>
    </row>
    <row r="1267" spans="2:8">
      <c r="B1267" s="145" t="s">
        <v>1669</v>
      </c>
      <c r="C1267" s="98" t="s">
        <v>1670</v>
      </c>
      <c r="D1267" s="99" t="s">
        <v>401</v>
      </c>
      <c r="E1267" s="99" t="s">
        <v>37</v>
      </c>
      <c r="F1267" s="94" t="s">
        <v>1435</v>
      </c>
      <c r="G1267" s="95">
        <f>1.32*1.2217</f>
        <v>1.6126440000000002</v>
      </c>
      <c r="H1267" s="147">
        <f t="shared" si="124"/>
        <v>1.0804714800000002</v>
      </c>
    </row>
    <row r="1268" spans="2:8" ht="38.25">
      <c r="B1268" s="145" t="s">
        <v>2121</v>
      </c>
      <c r="C1268" s="98" t="s">
        <v>2122</v>
      </c>
      <c r="D1268" s="99" t="s">
        <v>401</v>
      </c>
      <c r="E1268" s="99" t="s">
        <v>37</v>
      </c>
      <c r="F1268" s="94">
        <v>0.18955223800000001</v>
      </c>
      <c r="G1268" s="95">
        <v>47.6</v>
      </c>
      <c r="H1268" s="147">
        <f t="shared" si="124"/>
        <v>9.0226865288000013</v>
      </c>
    </row>
    <row r="1269" spans="2:8">
      <c r="B1269" s="145" t="s">
        <v>2828</v>
      </c>
      <c r="C1269" s="98" t="s">
        <v>1671</v>
      </c>
      <c r="D1269" s="99" t="s">
        <v>401</v>
      </c>
      <c r="E1269" s="99" t="s">
        <v>37</v>
      </c>
      <c r="F1269" s="94">
        <v>2.67</v>
      </c>
      <c r="G1269" s="95">
        <v>0.3</v>
      </c>
      <c r="H1269" s="147">
        <f t="shared" si="124"/>
        <v>0.80099999999999993</v>
      </c>
    </row>
    <row r="1270" spans="2:8">
      <c r="B1270" s="145" t="s">
        <v>1672</v>
      </c>
      <c r="C1270" s="98" t="s">
        <v>1673</v>
      </c>
      <c r="D1270" s="99" t="s">
        <v>401</v>
      </c>
      <c r="E1270" s="99" t="s">
        <v>37</v>
      </c>
      <c r="F1270" s="94" t="s">
        <v>1674</v>
      </c>
      <c r="G1270" s="95">
        <f>3.72*1.2217</f>
        <v>4.5447240000000004</v>
      </c>
      <c r="H1270" s="147">
        <f t="shared" si="124"/>
        <v>3.029816001514908</v>
      </c>
    </row>
    <row r="1271" spans="2:8" ht="38.25">
      <c r="B1271" s="145" t="s">
        <v>1675</v>
      </c>
      <c r="C1271" s="98" t="s">
        <v>1676</v>
      </c>
      <c r="D1271" s="99" t="s">
        <v>401</v>
      </c>
      <c r="E1271" s="99" t="s">
        <v>37</v>
      </c>
      <c r="F1271" s="94">
        <v>2</v>
      </c>
      <c r="G1271" s="95">
        <f>0.85*1.2217</f>
        <v>1.0384450000000001</v>
      </c>
      <c r="H1271" s="147">
        <f t="shared" si="124"/>
        <v>2.0768900000000001</v>
      </c>
    </row>
    <row r="1272" spans="2:8">
      <c r="B1272" s="630" t="s">
        <v>1232</v>
      </c>
      <c r="C1272" s="631"/>
      <c r="D1272" s="631"/>
      <c r="E1272" s="631"/>
      <c r="F1272" s="631"/>
      <c r="G1272" s="632"/>
      <c r="H1272" s="148">
        <f>SUM(H1260:H1271)</f>
        <v>63.316187460204908</v>
      </c>
    </row>
    <row r="1273" spans="2:8">
      <c r="B1273" s="627"/>
      <c r="C1273" s="628"/>
      <c r="D1273" s="628"/>
      <c r="E1273" s="628"/>
      <c r="F1273" s="628"/>
      <c r="G1273" s="628"/>
      <c r="H1273" s="629"/>
    </row>
    <row r="1274" spans="2:8" ht="51">
      <c r="B1274" s="139" t="s">
        <v>2123</v>
      </c>
      <c r="C1274" s="140" t="s">
        <v>894</v>
      </c>
      <c r="D1274" s="141" t="s">
        <v>12</v>
      </c>
      <c r="E1274" s="141" t="s">
        <v>15</v>
      </c>
      <c r="F1274" s="142"/>
      <c r="G1274" s="143"/>
      <c r="H1274" s="144"/>
    </row>
    <row r="1275" spans="2:8">
      <c r="B1275" s="145">
        <v>88247</v>
      </c>
      <c r="C1275" s="98" t="s">
        <v>1257</v>
      </c>
      <c r="D1275" s="99" t="s">
        <v>1229</v>
      </c>
      <c r="E1275" s="99" t="s">
        <v>1129</v>
      </c>
      <c r="F1275" s="94" t="s">
        <v>1280</v>
      </c>
      <c r="G1275" s="95">
        <v>19.84</v>
      </c>
      <c r="H1275" s="147">
        <f>F1275*G1275</f>
        <v>9.92</v>
      </c>
    </row>
    <row r="1276" spans="2:8">
      <c r="B1276" s="145">
        <v>88264</v>
      </c>
      <c r="C1276" s="98" t="s">
        <v>1258</v>
      </c>
      <c r="D1276" s="99" t="s">
        <v>1229</v>
      </c>
      <c r="E1276" s="99" t="s">
        <v>1129</v>
      </c>
      <c r="F1276" s="94" t="s">
        <v>1280</v>
      </c>
      <c r="G1276" s="95">
        <v>25.32</v>
      </c>
      <c r="H1276" s="147">
        <f t="shared" ref="H1276:H1286" si="125">F1276*G1276</f>
        <v>12.66</v>
      </c>
    </row>
    <row r="1277" spans="2:8" ht="38.25">
      <c r="B1277" s="145" t="s">
        <v>1667</v>
      </c>
      <c r="C1277" s="98" t="s">
        <v>1668</v>
      </c>
      <c r="D1277" s="99" t="s">
        <v>401</v>
      </c>
      <c r="E1277" s="99" t="s">
        <v>15</v>
      </c>
      <c r="F1277" s="94">
        <v>1.6</v>
      </c>
      <c r="G1277" s="95">
        <f>3.91*1.2217</f>
        <v>4.7768470000000001</v>
      </c>
      <c r="H1277" s="147">
        <f t="shared" si="125"/>
        <v>7.6429552000000003</v>
      </c>
    </row>
    <row r="1278" spans="2:8">
      <c r="B1278" s="145">
        <v>39997</v>
      </c>
      <c r="C1278" s="98" t="s">
        <v>2109</v>
      </c>
      <c r="D1278" s="99" t="s">
        <v>401</v>
      </c>
      <c r="E1278" s="99" t="s">
        <v>37</v>
      </c>
      <c r="F1278" s="94">
        <v>5.3366666670000003</v>
      </c>
      <c r="G1278" s="95">
        <v>0.28000000000000003</v>
      </c>
      <c r="H1278" s="147">
        <f t="shared" si="125"/>
        <v>1.4942666667600002</v>
      </c>
    </row>
    <row r="1279" spans="2:8">
      <c r="B1279" s="145" t="s">
        <v>2826</v>
      </c>
      <c r="C1279" s="98" t="s">
        <v>2110</v>
      </c>
      <c r="D1279" s="99" t="s">
        <v>401</v>
      </c>
      <c r="E1279" s="99" t="s">
        <v>37</v>
      </c>
      <c r="F1279" s="94">
        <v>5.34</v>
      </c>
      <c r="G1279" s="95">
        <v>0.05</v>
      </c>
      <c r="H1279" s="147">
        <f t="shared" si="125"/>
        <v>0.26700000000000002</v>
      </c>
    </row>
    <row r="1280" spans="2:8" ht="25.5" customHeight="1">
      <c r="B1280" s="145" t="s">
        <v>2124</v>
      </c>
      <c r="C1280" s="98" t="s">
        <v>1683</v>
      </c>
      <c r="D1280" s="99" t="s">
        <v>401</v>
      </c>
      <c r="E1280" s="99" t="s">
        <v>37</v>
      </c>
      <c r="F1280" s="94" t="s">
        <v>1435</v>
      </c>
      <c r="G1280" s="95">
        <v>10</v>
      </c>
      <c r="H1280" s="147">
        <f t="shared" si="125"/>
        <v>6.7</v>
      </c>
    </row>
    <row r="1281" spans="2:8" ht="38.25">
      <c r="B1281" s="145" t="s">
        <v>2125</v>
      </c>
      <c r="C1281" s="98" t="s">
        <v>2126</v>
      </c>
      <c r="D1281" s="99" t="s">
        <v>401</v>
      </c>
      <c r="E1281" s="99" t="s">
        <v>37</v>
      </c>
      <c r="F1281" s="94">
        <v>0.32292045000000003</v>
      </c>
      <c r="G1281" s="95">
        <v>37.54</v>
      </c>
      <c r="H1281" s="147">
        <f t="shared" si="125"/>
        <v>12.122433693000001</v>
      </c>
    </row>
    <row r="1282" spans="2:8" ht="25.5">
      <c r="B1282" s="145" t="s">
        <v>1684</v>
      </c>
      <c r="C1282" s="98" t="s">
        <v>1685</v>
      </c>
      <c r="D1282" s="99" t="s">
        <v>401</v>
      </c>
      <c r="E1282" s="99" t="s">
        <v>15</v>
      </c>
      <c r="F1282" s="94">
        <v>1.05</v>
      </c>
      <c r="G1282" s="95">
        <f>11.86*1.2217</f>
        <v>14.489362</v>
      </c>
      <c r="H1282" s="147">
        <f t="shared" si="125"/>
        <v>15.213830100000001</v>
      </c>
    </row>
    <row r="1283" spans="2:8" ht="25.5">
      <c r="B1283" s="145" t="s">
        <v>1686</v>
      </c>
      <c r="C1283" s="98" t="s">
        <v>1687</v>
      </c>
      <c r="D1283" s="99" t="s">
        <v>401</v>
      </c>
      <c r="E1283" s="99" t="s">
        <v>37</v>
      </c>
      <c r="F1283" s="94">
        <v>1.3333333329999999</v>
      </c>
      <c r="G1283" s="95">
        <f>3.53*1.2217</f>
        <v>4.3126009999999999</v>
      </c>
      <c r="H1283" s="147">
        <f t="shared" si="125"/>
        <v>5.7501346652291323</v>
      </c>
    </row>
    <row r="1284" spans="2:8">
      <c r="B1284" s="145" t="s">
        <v>2828</v>
      </c>
      <c r="C1284" s="98" t="s">
        <v>1671</v>
      </c>
      <c r="D1284" s="99" t="s">
        <v>401</v>
      </c>
      <c r="E1284" s="99" t="s">
        <v>37</v>
      </c>
      <c r="F1284" s="94">
        <v>2.67</v>
      </c>
      <c r="G1284" s="95">
        <v>0.3</v>
      </c>
      <c r="H1284" s="147">
        <f t="shared" si="125"/>
        <v>0.80099999999999993</v>
      </c>
    </row>
    <row r="1285" spans="2:8">
      <c r="B1285" s="145" t="s">
        <v>1672</v>
      </c>
      <c r="C1285" s="98" t="s">
        <v>1673</v>
      </c>
      <c r="D1285" s="99" t="s">
        <v>401</v>
      </c>
      <c r="E1285" s="99" t="s">
        <v>37</v>
      </c>
      <c r="F1285" s="94" t="s">
        <v>1435</v>
      </c>
      <c r="G1285" s="95">
        <f>3.72*1.2217</f>
        <v>4.5447240000000004</v>
      </c>
      <c r="H1285" s="147">
        <f t="shared" si="125"/>
        <v>3.0449650800000003</v>
      </c>
    </row>
    <row r="1286" spans="2:8" ht="38.25">
      <c r="B1286" s="145" t="s">
        <v>1688</v>
      </c>
      <c r="C1286" s="98" t="s">
        <v>1689</v>
      </c>
      <c r="D1286" s="99" t="s">
        <v>12</v>
      </c>
      <c r="E1286" s="99" t="s">
        <v>37</v>
      </c>
      <c r="F1286" s="94">
        <v>1.3333333329999999</v>
      </c>
      <c r="G1286" s="95">
        <f>6.64*1.2217</f>
        <v>8.112088</v>
      </c>
      <c r="H1286" s="147">
        <f t="shared" si="125"/>
        <v>10.816117330629304</v>
      </c>
    </row>
    <row r="1287" spans="2:8">
      <c r="B1287" s="630" t="s">
        <v>1232</v>
      </c>
      <c r="C1287" s="631"/>
      <c r="D1287" s="631"/>
      <c r="E1287" s="631"/>
      <c r="F1287" s="631"/>
      <c r="G1287" s="632"/>
      <c r="H1287" s="148">
        <f>SUM(H1275:H1286)</f>
        <v>86.43270273561842</v>
      </c>
    </row>
    <row r="1288" spans="2:8">
      <c r="B1288" s="202"/>
      <c r="C1288" s="203"/>
      <c r="D1288" s="203"/>
      <c r="E1288" s="203"/>
      <c r="F1288" s="203"/>
      <c r="G1288" s="203"/>
      <c r="H1288" s="169"/>
    </row>
    <row r="1289" spans="2:8" ht="51">
      <c r="B1289" s="139" t="s">
        <v>2127</v>
      </c>
      <c r="C1289" s="140" t="s">
        <v>1933</v>
      </c>
      <c r="D1289" s="141" t="s">
        <v>12</v>
      </c>
      <c r="E1289" s="141" t="s">
        <v>15</v>
      </c>
      <c r="F1289" s="142"/>
      <c r="G1289" s="143"/>
      <c r="H1289" s="144"/>
    </row>
    <row r="1290" spans="2:8">
      <c r="B1290" s="145">
        <v>88247</v>
      </c>
      <c r="C1290" s="98" t="s">
        <v>1257</v>
      </c>
      <c r="D1290" s="99" t="s">
        <v>1229</v>
      </c>
      <c r="E1290" s="99" t="s">
        <v>1129</v>
      </c>
      <c r="F1290" s="94" t="s">
        <v>1381</v>
      </c>
      <c r="G1290" s="95">
        <v>19.84</v>
      </c>
      <c r="H1290" s="147">
        <f>F1290*G1290</f>
        <v>14.879999999999999</v>
      </c>
    </row>
    <row r="1291" spans="2:8">
      <c r="B1291" s="145">
        <v>88264</v>
      </c>
      <c r="C1291" s="98" t="s">
        <v>1258</v>
      </c>
      <c r="D1291" s="99" t="s">
        <v>1229</v>
      </c>
      <c r="E1291" s="99" t="s">
        <v>1129</v>
      </c>
      <c r="F1291" s="94" t="s">
        <v>1381</v>
      </c>
      <c r="G1291" s="95">
        <v>25.32</v>
      </c>
      <c r="H1291" s="147">
        <f t="shared" ref="H1291:H1303" si="126">F1291*G1291</f>
        <v>18.990000000000002</v>
      </c>
    </row>
    <row r="1292" spans="2:8" ht="25.5">
      <c r="B1292" s="145">
        <v>1323</v>
      </c>
      <c r="C1292" s="98" t="s">
        <v>1934</v>
      </c>
      <c r="D1292" s="99" t="s">
        <v>401</v>
      </c>
      <c r="E1292" s="99" t="s">
        <v>112</v>
      </c>
      <c r="F1292" s="94">
        <v>7.056</v>
      </c>
      <c r="G1292" s="95">
        <v>16.07</v>
      </c>
      <c r="H1292" s="147">
        <f t="shared" si="126"/>
        <v>113.38992</v>
      </c>
    </row>
    <row r="1293" spans="2:8" ht="38.25">
      <c r="B1293" s="145" t="s">
        <v>1667</v>
      </c>
      <c r="C1293" s="98" t="s">
        <v>1668</v>
      </c>
      <c r="D1293" s="99" t="s">
        <v>401</v>
      </c>
      <c r="E1293" s="99" t="s">
        <v>15</v>
      </c>
      <c r="F1293" s="94">
        <v>1.1000000000000001</v>
      </c>
      <c r="G1293" s="95">
        <f>3.91*1.2217</f>
        <v>4.7768470000000001</v>
      </c>
      <c r="H1293" s="147">
        <f t="shared" si="126"/>
        <v>5.2545317000000002</v>
      </c>
    </row>
    <row r="1294" spans="2:8">
      <c r="B1294" s="145">
        <v>39997</v>
      </c>
      <c r="C1294" s="98" t="s">
        <v>2109</v>
      </c>
      <c r="D1294" s="99" t="s">
        <v>401</v>
      </c>
      <c r="E1294" s="99" t="s">
        <v>37</v>
      </c>
      <c r="F1294" s="94">
        <v>4.4000000000000004</v>
      </c>
      <c r="G1294" s="95">
        <v>0.28000000000000003</v>
      </c>
      <c r="H1294" s="147">
        <f t="shared" si="126"/>
        <v>1.2320000000000002</v>
      </c>
    </row>
    <row r="1295" spans="2:8">
      <c r="B1295" s="145" t="s">
        <v>2826</v>
      </c>
      <c r="C1295" s="98" t="s">
        <v>2110</v>
      </c>
      <c r="D1295" s="99" t="s">
        <v>401</v>
      </c>
      <c r="E1295" s="99" t="s">
        <v>37</v>
      </c>
      <c r="F1295" s="94">
        <v>4.4000000000000004</v>
      </c>
      <c r="G1295" s="95">
        <v>0.05</v>
      </c>
      <c r="H1295" s="147">
        <f t="shared" si="126"/>
        <v>0.22000000000000003</v>
      </c>
    </row>
    <row r="1296" spans="2:8" ht="25.5" customHeight="1">
      <c r="B1296" s="145" t="s">
        <v>2124</v>
      </c>
      <c r="C1296" s="98" t="s">
        <v>1683</v>
      </c>
      <c r="D1296" s="99" t="s">
        <v>401</v>
      </c>
      <c r="E1296" s="99" t="s">
        <v>37</v>
      </c>
      <c r="F1296" s="94">
        <v>1.33</v>
      </c>
      <c r="G1296" s="95">
        <v>10</v>
      </c>
      <c r="H1296" s="147">
        <f t="shared" si="126"/>
        <v>13.3</v>
      </c>
    </row>
    <row r="1297" spans="1:45" ht="25.5">
      <c r="B1297" s="145" t="s">
        <v>1686</v>
      </c>
      <c r="C1297" s="98" t="s">
        <v>1687</v>
      </c>
      <c r="D1297" s="99" t="s">
        <v>401</v>
      </c>
      <c r="E1297" s="99" t="s">
        <v>37</v>
      </c>
      <c r="F1297" s="94">
        <v>1.33</v>
      </c>
      <c r="G1297" s="95">
        <f>3.53*1.2217</f>
        <v>4.3126009999999999</v>
      </c>
      <c r="H1297" s="147">
        <f t="shared" si="126"/>
        <v>5.7357593300000005</v>
      </c>
    </row>
    <row r="1298" spans="1:45">
      <c r="B1298" s="145" t="s">
        <v>2828</v>
      </c>
      <c r="C1298" s="98" t="s">
        <v>1671</v>
      </c>
      <c r="D1298" s="99" t="s">
        <v>401</v>
      </c>
      <c r="E1298" s="99" t="s">
        <v>37</v>
      </c>
      <c r="F1298" s="94">
        <v>1.33</v>
      </c>
      <c r="G1298" s="95">
        <v>0.3</v>
      </c>
      <c r="H1298" s="147">
        <f t="shared" si="126"/>
        <v>0.39900000000000002</v>
      </c>
    </row>
    <row r="1299" spans="1:45">
      <c r="B1299" s="145" t="s">
        <v>1672</v>
      </c>
      <c r="C1299" s="98" t="s">
        <v>1673</v>
      </c>
      <c r="D1299" s="99" t="s">
        <v>401</v>
      </c>
      <c r="E1299" s="99" t="s">
        <v>37</v>
      </c>
      <c r="F1299" s="94" t="s">
        <v>1435</v>
      </c>
      <c r="G1299" s="95">
        <f>3.72*1.2217</f>
        <v>4.5447240000000004</v>
      </c>
      <c r="H1299" s="147">
        <f t="shared" si="126"/>
        <v>3.0449650800000003</v>
      </c>
    </row>
    <row r="1300" spans="1:45" ht="38.25">
      <c r="B1300" s="145" t="s">
        <v>1688</v>
      </c>
      <c r="C1300" s="98" t="s">
        <v>1689</v>
      </c>
      <c r="D1300" s="99" t="s">
        <v>12</v>
      </c>
      <c r="E1300" s="99" t="s">
        <v>37</v>
      </c>
      <c r="F1300" s="94">
        <v>1.33</v>
      </c>
      <c r="G1300" s="95">
        <f>6.64*1.2217</f>
        <v>8.112088</v>
      </c>
      <c r="H1300" s="147">
        <f t="shared" si="126"/>
        <v>10.78907704</v>
      </c>
    </row>
    <row r="1301" spans="1:45" ht="51">
      <c r="B1301" s="145" t="s">
        <v>2068</v>
      </c>
      <c r="C1301" s="98" t="s">
        <v>699</v>
      </c>
      <c r="D1301" s="99" t="s">
        <v>12</v>
      </c>
      <c r="E1301" s="99" t="s">
        <v>24</v>
      </c>
      <c r="F1301" s="94" t="s">
        <v>1343</v>
      </c>
      <c r="G1301" s="95">
        <f>H993</f>
        <v>21.350875880640004</v>
      </c>
      <c r="H1301" s="147">
        <f t="shared" si="126"/>
        <v>12.810525528384002</v>
      </c>
    </row>
    <row r="1302" spans="1:45" ht="25.5">
      <c r="B1302" s="145" t="s">
        <v>1488</v>
      </c>
      <c r="C1302" s="98" t="s">
        <v>1489</v>
      </c>
      <c r="D1302" s="99" t="s">
        <v>12</v>
      </c>
      <c r="E1302" s="99" t="s">
        <v>1129</v>
      </c>
      <c r="F1302" s="94" t="s">
        <v>1275</v>
      </c>
      <c r="G1302" s="95">
        <v>20.37</v>
      </c>
      <c r="H1302" s="147">
        <f t="shared" si="126"/>
        <v>1.6296000000000002</v>
      </c>
    </row>
    <row r="1303" spans="1:45" ht="25.5">
      <c r="B1303" s="145" t="s">
        <v>1391</v>
      </c>
      <c r="C1303" s="98" t="s">
        <v>1392</v>
      </c>
      <c r="D1303" s="99" t="s">
        <v>12</v>
      </c>
      <c r="E1303" s="99" t="s">
        <v>1129</v>
      </c>
      <c r="F1303" s="94" t="s">
        <v>1275</v>
      </c>
      <c r="G1303" s="95">
        <v>24.93</v>
      </c>
      <c r="H1303" s="147">
        <f t="shared" si="126"/>
        <v>1.9944</v>
      </c>
    </row>
    <row r="1304" spans="1:45" s="172" customFormat="1">
      <c r="A1304" s="317"/>
      <c r="B1304" s="674" t="s">
        <v>1232</v>
      </c>
      <c r="C1304" s="675"/>
      <c r="D1304" s="675"/>
      <c r="E1304" s="675"/>
      <c r="F1304" s="675"/>
      <c r="G1304" s="676"/>
      <c r="H1304" s="195">
        <f>SUM(H1290:H1303)</f>
        <v>203.66977867838406</v>
      </c>
      <c r="I1304" s="317"/>
      <c r="J1304" s="317"/>
      <c r="K1304" s="317"/>
      <c r="L1304" s="317"/>
      <c r="M1304" s="317"/>
      <c r="N1304" s="317"/>
      <c r="O1304" s="317"/>
      <c r="P1304" s="317"/>
      <c r="Q1304" s="317"/>
      <c r="R1304" s="317"/>
      <c r="S1304" s="317"/>
      <c r="T1304" s="317"/>
      <c r="U1304" s="317"/>
      <c r="V1304" s="317"/>
      <c r="W1304" s="317"/>
      <c r="X1304" s="317"/>
      <c r="Y1304" s="317"/>
      <c r="Z1304" s="317"/>
      <c r="AA1304" s="317"/>
      <c r="AB1304" s="317"/>
      <c r="AC1304" s="317"/>
      <c r="AD1304" s="317"/>
      <c r="AE1304" s="317"/>
      <c r="AF1304" s="317"/>
      <c r="AG1304" s="317"/>
      <c r="AH1304" s="317"/>
      <c r="AI1304" s="317"/>
      <c r="AJ1304" s="317"/>
      <c r="AK1304" s="317"/>
      <c r="AL1304" s="317"/>
      <c r="AM1304" s="317"/>
      <c r="AN1304" s="317"/>
      <c r="AO1304" s="317"/>
      <c r="AP1304" s="317"/>
      <c r="AQ1304" s="317"/>
      <c r="AR1304" s="317"/>
      <c r="AS1304" s="317"/>
    </row>
    <row r="1305" spans="1:45">
      <c r="B1305" s="621"/>
      <c r="C1305" s="622"/>
      <c r="D1305" s="622"/>
      <c r="E1305" s="622"/>
      <c r="F1305" s="622"/>
      <c r="G1305" s="622"/>
      <c r="H1305" s="623"/>
    </row>
    <row r="1306" spans="1:45" ht="76.5">
      <c r="B1306" s="139" t="s">
        <v>2128</v>
      </c>
      <c r="C1306" s="140" t="s">
        <v>1693</v>
      </c>
      <c r="D1306" s="141" t="s">
        <v>12</v>
      </c>
      <c r="E1306" s="141" t="s">
        <v>37</v>
      </c>
      <c r="F1306" s="142"/>
      <c r="G1306" s="143"/>
      <c r="H1306" s="144"/>
    </row>
    <row r="1307" spans="1:45" ht="38.25">
      <c r="B1307" s="145">
        <v>3799</v>
      </c>
      <c r="C1307" s="98" t="s">
        <v>2129</v>
      </c>
      <c r="D1307" s="99" t="s">
        <v>401</v>
      </c>
      <c r="E1307" s="99" t="s">
        <v>37</v>
      </c>
      <c r="F1307" s="94">
        <v>2</v>
      </c>
      <c r="G1307" s="95">
        <v>86.11</v>
      </c>
      <c r="H1307" s="147">
        <f>F1307*G1307</f>
        <v>172.22</v>
      </c>
    </row>
    <row r="1308" spans="1:45" ht="25.5">
      <c r="B1308" s="145" t="s">
        <v>1625</v>
      </c>
      <c r="C1308" s="98" t="s">
        <v>1873</v>
      </c>
      <c r="D1308" s="99" t="s">
        <v>12</v>
      </c>
      <c r="E1308" s="99" t="s">
        <v>1129</v>
      </c>
      <c r="F1308" s="94">
        <v>1.35</v>
      </c>
      <c r="G1308" s="95">
        <v>19.84</v>
      </c>
      <c r="H1308" s="147">
        <f t="shared" ref="H1308:H1309" si="127">F1308*G1308</f>
        <v>26.784000000000002</v>
      </c>
    </row>
    <row r="1309" spans="1:45" ht="25.5">
      <c r="B1309" s="145" t="s">
        <v>1627</v>
      </c>
      <c r="C1309" s="98" t="s">
        <v>1628</v>
      </c>
      <c r="D1309" s="99" t="s">
        <v>12</v>
      </c>
      <c r="E1309" s="99" t="s">
        <v>1129</v>
      </c>
      <c r="F1309" s="94">
        <v>1.35</v>
      </c>
      <c r="G1309" s="95">
        <v>25.32</v>
      </c>
      <c r="H1309" s="147">
        <f t="shared" si="127"/>
        <v>34.182000000000002</v>
      </c>
    </row>
    <row r="1310" spans="1:45">
      <c r="B1310" s="630" t="s">
        <v>1232</v>
      </c>
      <c r="C1310" s="631"/>
      <c r="D1310" s="631"/>
      <c r="E1310" s="631"/>
      <c r="F1310" s="631"/>
      <c r="G1310" s="632"/>
      <c r="H1310" s="148">
        <f>SUM(H1307:H1309)</f>
        <v>233.18599999999998</v>
      </c>
    </row>
    <row r="1311" spans="1:45">
      <c r="B1311" s="627"/>
      <c r="C1311" s="628"/>
      <c r="D1311" s="628"/>
      <c r="E1311" s="628"/>
      <c r="F1311" s="628"/>
      <c r="G1311" s="628"/>
      <c r="H1311" s="629"/>
    </row>
    <row r="1312" spans="1:45" ht="76.5">
      <c r="B1312" s="139" t="s">
        <v>2130</v>
      </c>
      <c r="C1312" s="140" t="s">
        <v>1874</v>
      </c>
      <c r="D1312" s="417" t="s">
        <v>12</v>
      </c>
      <c r="E1312" s="417" t="s">
        <v>37</v>
      </c>
      <c r="F1312" s="142"/>
      <c r="G1312" s="143"/>
      <c r="H1312" s="144"/>
    </row>
    <row r="1313" spans="2:8" ht="38.25">
      <c r="B1313" s="145">
        <v>3799</v>
      </c>
      <c r="C1313" s="98" t="s">
        <v>2129</v>
      </c>
      <c r="D1313" s="99" t="s">
        <v>401</v>
      </c>
      <c r="E1313" s="99" t="s">
        <v>37</v>
      </c>
      <c r="F1313" s="94">
        <v>1</v>
      </c>
      <c r="G1313" s="95">
        <v>86.11</v>
      </c>
      <c r="H1313" s="147">
        <f>F1313*G1313</f>
        <v>86.11</v>
      </c>
    </row>
    <row r="1314" spans="2:8" ht="25.5">
      <c r="B1314" s="145" t="s">
        <v>1625</v>
      </c>
      <c r="C1314" s="98" t="s">
        <v>1873</v>
      </c>
      <c r="D1314" s="99" t="s">
        <v>12</v>
      </c>
      <c r="E1314" s="99" t="s">
        <v>1129</v>
      </c>
      <c r="F1314" s="94">
        <v>1.35</v>
      </c>
      <c r="G1314" s="95">
        <v>19.84</v>
      </c>
      <c r="H1314" s="147">
        <f t="shared" ref="H1314:H1315" si="128">F1314*G1314</f>
        <v>26.784000000000002</v>
      </c>
    </row>
    <row r="1315" spans="2:8" ht="25.5">
      <c r="B1315" s="145" t="s">
        <v>1627</v>
      </c>
      <c r="C1315" s="98" t="s">
        <v>1628</v>
      </c>
      <c r="D1315" s="99" t="s">
        <v>12</v>
      </c>
      <c r="E1315" s="99" t="s">
        <v>1129</v>
      </c>
      <c r="F1315" s="94">
        <v>1.35</v>
      </c>
      <c r="G1315" s="95">
        <v>25.32</v>
      </c>
      <c r="H1315" s="147">
        <f t="shared" si="128"/>
        <v>34.182000000000002</v>
      </c>
    </row>
    <row r="1316" spans="2:8">
      <c r="B1316" s="630" t="s">
        <v>1232</v>
      </c>
      <c r="C1316" s="631"/>
      <c r="D1316" s="631"/>
      <c r="E1316" s="631"/>
      <c r="F1316" s="631"/>
      <c r="G1316" s="632"/>
      <c r="H1316" s="148">
        <f>SUM(H1313:H1315)</f>
        <v>147.07600000000002</v>
      </c>
    </row>
    <row r="1317" spans="2:8">
      <c r="B1317" s="627"/>
      <c r="C1317" s="628"/>
      <c r="D1317" s="628"/>
      <c r="E1317" s="628"/>
      <c r="F1317" s="628"/>
      <c r="G1317" s="628"/>
      <c r="H1317" s="629"/>
    </row>
    <row r="1318" spans="2:8" ht="38.25">
      <c r="B1318" s="139" t="s">
        <v>2131</v>
      </c>
      <c r="C1318" s="140" t="s">
        <v>907</v>
      </c>
      <c r="D1318" s="141" t="s">
        <v>12</v>
      </c>
      <c r="E1318" s="141" t="s">
        <v>37</v>
      </c>
      <c r="F1318" s="142"/>
      <c r="G1318" s="143"/>
      <c r="H1318" s="144"/>
    </row>
    <row r="1319" spans="2:8" ht="38.25">
      <c r="B1319" s="145" t="s">
        <v>1694</v>
      </c>
      <c r="C1319" s="98" t="s">
        <v>1695</v>
      </c>
      <c r="D1319" s="99" t="s">
        <v>401</v>
      </c>
      <c r="E1319" s="99" t="s">
        <v>37</v>
      </c>
      <c r="F1319" s="94">
        <v>1</v>
      </c>
      <c r="G1319" s="95">
        <v>76.97</v>
      </c>
      <c r="H1319" s="147">
        <f>F1319*G1319</f>
        <v>76.97</v>
      </c>
    </row>
    <row r="1320" spans="2:8" ht="25.5">
      <c r="B1320" s="145">
        <v>38194</v>
      </c>
      <c r="C1320" s="98" t="s">
        <v>1696</v>
      </c>
      <c r="D1320" s="99" t="s">
        <v>401</v>
      </c>
      <c r="E1320" s="99" t="s">
        <v>37</v>
      </c>
      <c r="F1320" s="94">
        <v>1</v>
      </c>
      <c r="G1320" s="95">
        <v>9.4600000000000009</v>
      </c>
      <c r="H1320" s="147">
        <f t="shared" ref="H1320:H1322" si="129">F1320*G1320</f>
        <v>9.4600000000000009</v>
      </c>
    </row>
    <row r="1321" spans="2:8" ht="25.5">
      <c r="B1321" s="145" t="s">
        <v>1625</v>
      </c>
      <c r="C1321" s="98" t="s">
        <v>1626</v>
      </c>
      <c r="D1321" s="99" t="s">
        <v>12</v>
      </c>
      <c r="E1321" s="99" t="s">
        <v>1129</v>
      </c>
      <c r="F1321" s="94" t="s">
        <v>1483</v>
      </c>
      <c r="G1321" s="95">
        <v>19.84</v>
      </c>
      <c r="H1321" s="147">
        <f t="shared" si="129"/>
        <v>2.976</v>
      </c>
    </row>
    <row r="1322" spans="2:8" ht="25.5">
      <c r="B1322" s="145" t="s">
        <v>1627</v>
      </c>
      <c r="C1322" s="98" t="s">
        <v>1628</v>
      </c>
      <c r="D1322" s="99" t="s">
        <v>12</v>
      </c>
      <c r="E1322" s="99" t="s">
        <v>1129</v>
      </c>
      <c r="F1322" s="94" t="s">
        <v>1273</v>
      </c>
      <c r="G1322" s="95">
        <v>25.32</v>
      </c>
      <c r="H1322" s="147">
        <f t="shared" si="129"/>
        <v>6.33</v>
      </c>
    </row>
    <row r="1323" spans="2:8">
      <c r="B1323" s="630" t="s">
        <v>1232</v>
      </c>
      <c r="C1323" s="631"/>
      <c r="D1323" s="631"/>
      <c r="E1323" s="631"/>
      <c r="F1323" s="631"/>
      <c r="G1323" s="632"/>
      <c r="H1323" s="148">
        <f>SUM(H1319:H1322)</f>
        <v>95.736000000000004</v>
      </c>
    </row>
    <row r="1324" spans="2:8">
      <c r="B1324" s="627"/>
      <c r="C1324" s="628"/>
      <c r="D1324" s="628"/>
      <c r="E1324" s="628"/>
      <c r="F1324" s="628"/>
      <c r="G1324" s="628"/>
      <c r="H1324" s="629"/>
    </row>
    <row r="1325" spans="2:8" ht="38.25">
      <c r="B1325" s="139" t="s">
        <v>2132</v>
      </c>
      <c r="C1325" s="140" t="s">
        <v>908</v>
      </c>
      <c r="D1325" s="141" t="s">
        <v>12</v>
      </c>
      <c r="E1325" s="141" t="s">
        <v>37</v>
      </c>
      <c r="F1325" s="142"/>
      <c r="G1325" s="143"/>
      <c r="H1325" s="144"/>
    </row>
    <row r="1326" spans="2:8" ht="25.5">
      <c r="B1326" s="145" t="s">
        <v>2829</v>
      </c>
      <c r="C1326" s="98" t="s">
        <v>1697</v>
      </c>
      <c r="D1326" s="99" t="s">
        <v>401</v>
      </c>
      <c r="E1326" s="99" t="s">
        <v>37</v>
      </c>
      <c r="F1326" s="94">
        <v>1</v>
      </c>
      <c r="G1326" s="95">
        <v>96.23</v>
      </c>
      <c r="H1326" s="147">
        <f>F1326*G1326</f>
        <v>96.23</v>
      </c>
    </row>
    <row r="1327" spans="2:8" ht="25.5">
      <c r="B1327" s="145">
        <v>39376</v>
      </c>
      <c r="C1327" s="98" t="s">
        <v>1698</v>
      </c>
      <c r="D1327" s="99" t="s">
        <v>401</v>
      </c>
      <c r="E1327" s="99" t="s">
        <v>37</v>
      </c>
      <c r="F1327" s="94">
        <v>1</v>
      </c>
      <c r="G1327" s="95">
        <v>51.25</v>
      </c>
      <c r="H1327" s="147">
        <f t="shared" ref="H1327:H1329" si="130">F1327*G1327</f>
        <v>51.25</v>
      </c>
    </row>
    <row r="1328" spans="2:8" ht="25.5">
      <c r="B1328" s="145" t="s">
        <v>1625</v>
      </c>
      <c r="C1328" s="98" t="s">
        <v>1626</v>
      </c>
      <c r="D1328" s="99" t="s">
        <v>12</v>
      </c>
      <c r="E1328" s="99" t="s">
        <v>1129</v>
      </c>
      <c r="F1328" s="94" t="s">
        <v>1483</v>
      </c>
      <c r="G1328" s="95">
        <v>19.84</v>
      </c>
      <c r="H1328" s="147">
        <f t="shared" si="130"/>
        <v>2.976</v>
      </c>
    </row>
    <row r="1329" spans="1:45" ht="25.5">
      <c r="B1329" s="145" t="s">
        <v>1627</v>
      </c>
      <c r="C1329" s="98" t="s">
        <v>1628</v>
      </c>
      <c r="D1329" s="99" t="s">
        <v>12</v>
      </c>
      <c r="E1329" s="99" t="s">
        <v>1129</v>
      </c>
      <c r="F1329" s="94" t="s">
        <v>1273</v>
      </c>
      <c r="G1329" s="95">
        <v>25.32</v>
      </c>
      <c r="H1329" s="147">
        <f t="shared" si="130"/>
        <v>6.33</v>
      </c>
    </row>
    <row r="1330" spans="1:45">
      <c r="B1330" s="630" t="s">
        <v>1232</v>
      </c>
      <c r="C1330" s="631"/>
      <c r="D1330" s="631"/>
      <c r="E1330" s="631"/>
      <c r="F1330" s="631"/>
      <c r="G1330" s="632"/>
      <c r="H1330" s="148">
        <f>SUM(H1326:H1329)</f>
        <v>156.78600000000003</v>
      </c>
    </row>
    <row r="1331" spans="1:45">
      <c r="B1331" s="202"/>
      <c r="C1331" s="203"/>
      <c r="D1331" s="203"/>
      <c r="E1331" s="203"/>
      <c r="F1331" s="203"/>
      <c r="G1331" s="203"/>
      <c r="H1331" s="169"/>
    </row>
    <row r="1332" spans="1:45" ht="25.5">
      <c r="B1332" s="139" t="s">
        <v>2133</v>
      </c>
      <c r="C1332" s="140" t="s">
        <v>1935</v>
      </c>
      <c r="D1332" s="141" t="s">
        <v>12</v>
      </c>
      <c r="E1332" s="141" t="s">
        <v>37</v>
      </c>
      <c r="F1332" s="142"/>
      <c r="G1332" s="143"/>
      <c r="H1332" s="144"/>
    </row>
    <row r="1333" spans="1:45" ht="25.5">
      <c r="B1333" s="145">
        <v>1088</v>
      </c>
      <c r="C1333" s="98" t="s">
        <v>1936</v>
      </c>
      <c r="D1333" s="99" t="s">
        <v>401</v>
      </c>
      <c r="E1333" s="99" t="s">
        <v>37</v>
      </c>
      <c r="F1333" s="94">
        <v>1</v>
      </c>
      <c r="G1333" s="95">
        <v>18.07</v>
      </c>
      <c r="H1333" s="147">
        <f>F1333*G1333</f>
        <v>18.07</v>
      </c>
    </row>
    <row r="1334" spans="1:45" ht="25.5">
      <c r="B1334" s="145">
        <v>12295</v>
      </c>
      <c r="C1334" s="98" t="s">
        <v>1937</v>
      </c>
      <c r="D1334" s="99" t="s">
        <v>401</v>
      </c>
      <c r="E1334" s="99" t="s">
        <v>37</v>
      </c>
      <c r="F1334" s="94">
        <v>2</v>
      </c>
      <c r="G1334" s="95">
        <v>2.99</v>
      </c>
      <c r="H1334" s="147">
        <f t="shared" ref="H1334:H1338" si="131">F1334*G1334</f>
        <v>5.98</v>
      </c>
    </row>
    <row r="1335" spans="1:45" ht="25.5">
      <c r="B1335" s="145">
        <v>38778</v>
      </c>
      <c r="C1335" s="98" t="s">
        <v>1938</v>
      </c>
      <c r="D1335" s="99" t="s">
        <v>401</v>
      </c>
      <c r="E1335" s="99" t="s">
        <v>37</v>
      </c>
      <c r="F1335" s="94">
        <v>1</v>
      </c>
      <c r="G1335" s="95">
        <v>9.26</v>
      </c>
      <c r="H1335" s="147">
        <f t="shared" si="131"/>
        <v>9.26</v>
      </c>
    </row>
    <row r="1336" spans="1:45" ht="38.25">
      <c r="B1336" s="145">
        <v>394</v>
      </c>
      <c r="C1336" s="98" t="s">
        <v>1939</v>
      </c>
      <c r="D1336" s="99" t="s">
        <v>401</v>
      </c>
      <c r="E1336" s="99" t="s">
        <v>37</v>
      </c>
      <c r="F1336" s="94">
        <v>2</v>
      </c>
      <c r="G1336" s="95">
        <v>3.42</v>
      </c>
      <c r="H1336" s="147">
        <f t="shared" si="131"/>
        <v>6.84</v>
      </c>
    </row>
    <row r="1337" spans="1:45" ht="25.5">
      <c r="B1337" s="145" t="s">
        <v>1625</v>
      </c>
      <c r="C1337" s="98" t="s">
        <v>1626</v>
      </c>
      <c r="D1337" s="99" t="s">
        <v>12</v>
      </c>
      <c r="E1337" s="99" t="s">
        <v>1129</v>
      </c>
      <c r="F1337" s="94" t="s">
        <v>1279</v>
      </c>
      <c r="G1337" s="95">
        <v>19.84</v>
      </c>
      <c r="H1337" s="147">
        <f t="shared" si="131"/>
        <v>1.984</v>
      </c>
    </row>
    <row r="1338" spans="1:45" ht="25.5">
      <c r="B1338" s="145" t="s">
        <v>1627</v>
      </c>
      <c r="C1338" s="98" t="s">
        <v>1628</v>
      </c>
      <c r="D1338" s="99" t="s">
        <v>12</v>
      </c>
      <c r="E1338" s="99" t="s">
        <v>1129</v>
      </c>
      <c r="F1338" s="94" t="s">
        <v>1273</v>
      </c>
      <c r="G1338" s="95">
        <v>25.32</v>
      </c>
      <c r="H1338" s="147">
        <f t="shared" si="131"/>
        <v>6.33</v>
      </c>
    </row>
    <row r="1339" spans="1:45" s="172" customFormat="1">
      <c r="A1339" s="317"/>
      <c r="B1339" s="674" t="s">
        <v>1232</v>
      </c>
      <c r="C1339" s="675"/>
      <c r="D1339" s="675"/>
      <c r="E1339" s="675"/>
      <c r="F1339" s="675"/>
      <c r="G1339" s="676"/>
      <c r="H1339" s="195">
        <f>SUM(H1333:H1338)</f>
        <v>48.464000000000006</v>
      </c>
      <c r="I1339" s="317"/>
      <c r="J1339" s="317"/>
      <c r="K1339" s="317"/>
      <c r="L1339" s="317"/>
      <c r="M1339" s="317"/>
      <c r="N1339" s="317"/>
      <c r="O1339" s="317"/>
      <c r="P1339" s="317"/>
      <c r="Q1339" s="317"/>
      <c r="R1339" s="317"/>
      <c r="S1339" s="317"/>
      <c r="T1339" s="317"/>
      <c r="U1339" s="317"/>
      <c r="V1339" s="317"/>
      <c r="W1339" s="317"/>
      <c r="X1339" s="317"/>
      <c r="Y1339" s="317"/>
      <c r="Z1339" s="317"/>
      <c r="AA1339" s="317"/>
      <c r="AB1339" s="317"/>
      <c r="AC1339" s="317"/>
      <c r="AD1339" s="317"/>
      <c r="AE1339" s="317"/>
      <c r="AF1339" s="317"/>
      <c r="AG1339" s="317"/>
      <c r="AH1339" s="317"/>
      <c r="AI1339" s="317"/>
      <c r="AJ1339" s="317"/>
      <c r="AK1339" s="317"/>
      <c r="AL1339" s="317"/>
      <c r="AM1339" s="317"/>
      <c r="AN1339" s="317"/>
      <c r="AO1339" s="317"/>
      <c r="AP1339" s="317"/>
      <c r="AQ1339" s="317"/>
      <c r="AR1339" s="317"/>
      <c r="AS1339" s="317"/>
    </row>
    <row r="1340" spans="1:45">
      <c r="B1340" s="621"/>
      <c r="C1340" s="622"/>
      <c r="D1340" s="622"/>
      <c r="E1340" s="622"/>
      <c r="F1340" s="622"/>
      <c r="G1340" s="622"/>
      <c r="H1340" s="623"/>
    </row>
    <row r="1341" spans="1:45" ht="25.5">
      <c r="B1341" s="139" t="s">
        <v>2204</v>
      </c>
      <c r="C1341" s="140" t="s">
        <v>928</v>
      </c>
      <c r="D1341" s="141" t="s">
        <v>12</v>
      </c>
      <c r="E1341" s="141" t="s">
        <v>37</v>
      </c>
      <c r="F1341" s="142"/>
      <c r="G1341" s="143"/>
      <c r="H1341" s="144"/>
    </row>
    <row r="1342" spans="1:45" ht="25.5">
      <c r="B1342" s="145" t="s">
        <v>1699</v>
      </c>
      <c r="C1342" s="98" t="s">
        <v>1700</v>
      </c>
      <c r="D1342" s="99" t="s">
        <v>401</v>
      </c>
      <c r="E1342" s="99" t="s">
        <v>37</v>
      </c>
      <c r="F1342" s="94">
        <v>1</v>
      </c>
      <c r="G1342" s="95">
        <v>60</v>
      </c>
      <c r="H1342" s="147">
        <f>F1342*G1342</f>
        <v>60</v>
      </c>
    </row>
    <row r="1343" spans="1:45" ht="51">
      <c r="B1343" s="145">
        <v>38100</v>
      </c>
      <c r="C1343" s="98" t="s">
        <v>1701</v>
      </c>
      <c r="D1343" s="99" t="s">
        <v>401</v>
      </c>
      <c r="E1343" s="99" t="s">
        <v>37</v>
      </c>
      <c r="F1343" s="94">
        <v>2</v>
      </c>
      <c r="G1343" s="95">
        <v>2.72</v>
      </c>
      <c r="H1343" s="147">
        <f t="shared" ref="H1343:H1346" si="132">F1343*G1343</f>
        <v>5.44</v>
      </c>
    </row>
    <row r="1344" spans="1:45" ht="25.5">
      <c r="B1344" s="145">
        <v>7524</v>
      </c>
      <c r="C1344" s="98" t="s">
        <v>1702</v>
      </c>
      <c r="D1344" s="99" t="s">
        <v>401</v>
      </c>
      <c r="E1344" s="99" t="s">
        <v>37</v>
      </c>
      <c r="F1344" s="94">
        <v>1</v>
      </c>
      <c r="G1344" s="95">
        <v>46.86</v>
      </c>
      <c r="H1344" s="147">
        <f t="shared" si="132"/>
        <v>46.86</v>
      </c>
    </row>
    <row r="1345" spans="2:8" ht="25.5">
      <c r="B1345" s="145" t="s">
        <v>1625</v>
      </c>
      <c r="C1345" s="98" t="s">
        <v>1626</v>
      </c>
      <c r="D1345" s="99" t="s">
        <v>12</v>
      </c>
      <c r="E1345" s="99" t="s">
        <v>1129</v>
      </c>
      <c r="F1345" s="94" t="s">
        <v>1343</v>
      </c>
      <c r="G1345" s="95">
        <v>19.84</v>
      </c>
      <c r="H1345" s="147">
        <f t="shared" si="132"/>
        <v>11.904</v>
      </c>
    </row>
    <row r="1346" spans="2:8" ht="25.5">
      <c r="B1346" s="145" t="s">
        <v>1627</v>
      </c>
      <c r="C1346" s="98" t="s">
        <v>1628</v>
      </c>
      <c r="D1346" s="99" t="s">
        <v>12</v>
      </c>
      <c r="E1346" s="99" t="s">
        <v>1129</v>
      </c>
      <c r="F1346" s="94" t="s">
        <v>1343</v>
      </c>
      <c r="G1346" s="95">
        <v>25.32</v>
      </c>
      <c r="H1346" s="147">
        <f t="shared" si="132"/>
        <v>15.192</v>
      </c>
    </row>
    <row r="1347" spans="2:8">
      <c r="B1347" s="630" t="s">
        <v>1232</v>
      </c>
      <c r="C1347" s="631"/>
      <c r="D1347" s="631"/>
      <c r="E1347" s="631"/>
      <c r="F1347" s="631"/>
      <c r="G1347" s="632"/>
      <c r="H1347" s="148">
        <f>SUM(H1342:H1346)</f>
        <v>139.39599999999999</v>
      </c>
    </row>
    <row r="1348" spans="2:8">
      <c r="B1348" s="627"/>
      <c r="C1348" s="628"/>
      <c r="D1348" s="628"/>
      <c r="E1348" s="628"/>
      <c r="F1348" s="628"/>
      <c r="G1348" s="628"/>
      <c r="H1348" s="629"/>
    </row>
    <row r="1349" spans="2:8" ht="25.5">
      <c r="B1349" s="139" t="s">
        <v>2205</v>
      </c>
      <c r="C1349" s="140" t="s">
        <v>940</v>
      </c>
      <c r="D1349" s="141" t="s">
        <v>12</v>
      </c>
      <c r="E1349" s="141" t="s">
        <v>37</v>
      </c>
      <c r="F1349" s="142"/>
      <c r="G1349" s="143"/>
      <c r="H1349" s="144"/>
    </row>
    <row r="1350" spans="2:8" ht="25.5">
      <c r="B1350" s="145">
        <v>10956</v>
      </c>
      <c r="C1350" s="98" t="s">
        <v>1703</v>
      </c>
      <c r="D1350" s="99" t="s">
        <v>401</v>
      </c>
      <c r="E1350" s="99" t="s">
        <v>37</v>
      </c>
      <c r="F1350" s="94">
        <v>2</v>
      </c>
      <c r="G1350" s="95">
        <v>46.46</v>
      </c>
      <c r="H1350" s="147">
        <f>F1350*G1350</f>
        <v>92.92</v>
      </c>
    </row>
    <row r="1351" spans="2:8" ht="38.25">
      <c r="B1351" s="145">
        <v>11270</v>
      </c>
      <c r="C1351" s="98" t="s">
        <v>1704</v>
      </c>
      <c r="D1351" s="99" t="s">
        <v>401</v>
      </c>
      <c r="E1351" s="99" t="s">
        <v>37</v>
      </c>
      <c r="F1351" s="94">
        <v>4</v>
      </c>
      <c r="G1351" s="95">
        <v>2.46</v>
      </c>
      <c r="H1351" s="147">
        <f t="shared" ref="H1351:H1378" si="133">F1351*G1351</f>
        <v>9.84</v>
      </c>
    </row>
    <row r="1352" spans="2:8" ht="51">
      <c r="B1352" s="145">
        <v>11927</v>
      </c>
      <c r="C1352" s="98" t="s">
        <v>1705</v>
      </c>
      <c r="D1352" s="99" t="s">
        <v>401</v>
      </c>
      <c r="E1352" s="99" t="s">
        <v>37</v>
      </c>
      <c r="F1352" s="94">
        <v>1</v>
      </c>
      <c r="G1352" s="95">
        <v>7.34</v>
      </c>
      <c r="H1352" s="147">
        <f t="shared" si="133"/>
        <v>7.34</v>
      </c>
    </row>
    <row r="1353" spans="2:8" ht="25.5">
      <c r="B1353" s="145">
        <v>11976</v>
      </c>
      <c r="C1353" s="98" t="s">
        <v>1690</v>
      </c>
      <c r="D1353" s="99" t="s">
        <v>401</v>
      </c>
      <c r="E1353" s="99" t="s">
        <v>37</v>
      </c>
      <c r="F1353" s="94">
        <v>10</v>
      </c>
      <c r="G1353" s="95">
        <v>1.1399999999999999</v>
      </c>
      <c r="H1353" s="147">
        <f t="shared" si="133"/>
        <v>11.399999999999999</v>
      </c>
    </row>
    <row r="1354" spans="2:8" ht="38.25">
      <c r="B1354" s="145">
        <v>41388</v>
      </c>
      <c r="C1354" s="98" t="s">
        <v>1706</v>
      </c>
      <c r="D1354" s="99" t="s">
        <v>401</v>
      </c>
      <c r="E1354" s="99" t="s">
        <v>15</v>
      </c>
      <c r="F1354" s="94">
        <v>3</v>
      </c>
      <c r="G1354" s="95">
        <v>50.07</v>
      </c>
      <c r="H1354" s="147">
        <f t="shared" si="133"/>
        <v>150.21</v>
      </c>
    </row>
    <row r="1355" spans="2:8" ht="38.25">
      <c r="B1355" s="145">
        <v>1564</v>
      </c>
      <c r="C1355" s="98" t="s">
        <v>1707</v>
      </c>
      <c r="D1355" s="99" t="s">
        <v>401</v>
      </c>
      <c r="E1355" s="99" t="s">
        <v>37</v>
      </c>
      <c r="F1355" s="94">
        <v>1</v>
      </c>
      <c r="G1355" s="95">
        <v>15.51</v>
      </c>
      <c r="H1355" s="147">
        <f t="shared" si="133"/>
        <v>15.51</v>
      </c>
    </row>
    <row r="1356" spans="2:8" ht="38.25">
      <c r="B1356" s="145">
        <v>1587</v>
      </c>
      <c r="C1356" s="98" t="s">
        <v>1708</v>
      </c>
      <c r="D1356" s="99" t="s">
        <v>401</v>
      </c>
      <c r="E1356" s="99" t="s">
        <v>37</v>
      </c>
      <c r="F1356" s="94">
        <v>12</v>
      </c>
      <c r="G1356" s="95">
        <v>6.44</v>
      </c>
      <c r="H1356" s="147">
        <f t="shared" si="133"/>
        <v>77.28</v>
      </c>
    </row>
    <row r="1357" spans="2:8" ht="38.25">
      <c r="B1357" s="145">
        <v>1588</v>
      </c>
      <c r="C1357" s="98" t="s">
        <v>1709</v>
      </c>
      <c r="D1357" s="99" t="s">
        <v>401</v>
      </c>
      <c r="E1357" s="99" t="s">
        <v>37</v>
      </c>
      <c r="F1357" s="94">
        <v>2</v>
      </c>
      <c r="G1357" s="95">
        <v>8.84</v>
      </c>
      <c r="H1357" s="147">
        <f t="shared" si="133"/>
        <v>17.68</v>
      </c>
    </row>
    <row r="1358" spans="2:8" ht="38.25">
      <c r="B1358" s="145">
        <v>1589</v>
      </c>
      <c r="C1358" s="98" t="s">
        <v>1710</v>
      </c>
      <c r="D1358" s="99" t="s">
        <v>401</v>
      </c>
      <c r="E1358" s="99" t="s">
        <v>37</v>
      </c>
      <c r="F1358" s="94">
        <v>2</v>
      </c>
      <c r="G1358" s="95">
        <v>9.1199999999999992</v>
      </c>
      <c r="H1358" s="147">
        <f t="shared" si="133"/>
        <v>18.239999999999998</v>
      </c>
    </row>
    <row r="1359" spans="2:8" ht="38.25">
      <c r="B1359" s="145">
        <v>1598</v>
      </c>
      <c r="C1359" s="98" t="s">
        <v>1711</v>
      </c>
      <c r="D1359" s="99" t="s">
        <v>401</v>
      </c>
      <c r="E1359" s="99" t="s">
        <v>37</v>
      </c>
      <c r="F1359" s="94">
        <v>12</v>
      </c>
      <c r="G1359" s="95">
        <v>12.06</v>
      </c>
      <c r="H1359" s="147">
        <f t="shared" si="133"/>
        <v>144.72</v>
      </c>
    </row>
    <row r="1360" spans="2:8" ht="25.5">
      <c r="B1360" s="145">
        <v>1942</v>
      </c>
      <c r="C1360" s="98" t="s">
        <v>1712</v>
      </c>
      <c r="D1360" s="99" t="s">
        <v>401</v>
      </c>
      <c r="E1360" s="99" t="s">
        <v>37</v>
      </c>
      <c r="F1360" s="94">
        <v>2</v>
      </c>
      <c r="G1360" s="95">
        <v>50.18</v>
      </c>
      <c r="H1360" s="147">
        <f t="shared" si="133"/>
        <v>100.36</v>
      </c>
    </row>
    <row r="1361" spans="2:8" ht="38.25">
      <c r="B1361" s="145">
        <v>3278</v>
      </c>
      <c r="C1361" s="98" t="s">
        <v>1713</v>
      </c>
      <c r="D1361" s="99" t="s">
        <v>401</v>
      </c>
      <c r="E1361" s="99" t="s">
        <v>37</v>
      </c>
      <c r="F1361" s="94">
        <v>6</v>
      </c>
      <c r="G1361" s="95">
        <f>79.65*1.2217</f>
        <v>97.308405000000008</v>
      </c>
      <c r="H1361" s="147">
        <f t="shared" si="133"/>
        <v>583.85043000000007</v>
      </c>
    </row>
    <row r="1362" spans="2:8" ht="51">
      <c r="B1362" s="145">
        <v>3379</v>
      </c>
      <c r="C1362" s="98" t="s">
        <v>2134</v>
      </c>
      <c r="D1362" s="99" t="s">
        <v>401</v>
      </c>
      <c r="E1362" s="99" t="s">
        <v>37</v>
      </c>
      <c r="F1362" s="94">
        <v>6</v>
      </c>
      <c r="G1362" s="95">
        <v>79.650000000000006</v>
      </c>
      <c r="H1362" s="147">
        <f t="shared" si="133"/>
        <v>477.90000000000003</v>
      </c>
    </row>
    <row r="1363" spans="2:8" ht="38.25">
      <c r="B1363" s="145">
        <v>3384</v>
      </c>
      <c r="C1363" s="98" t="s">
        <v>1714</v>
      </c>
      <c r="D1363" s="99" t="s">
        <v>401</v>
      </c>
      <c r="E1363" s="99" t="s">
        <v>37</v>
      </c>
      <c r="F1363" s="94">
        <v>10</v>
      </c>
      <c r="G1363" s="95">
        <v>9.4499999999999993</v>
      </c>
      <c r="H1363" s="147">
        <f t="shared" si="133"/>
        <v>94.5</v>
      </c>
    </row>
    <row r="1364" spans="2:8" ht="25.5">
      <c r="B1364" s="145">
        <v>3879</v>
      </c>
      <c r="C1364" s="98" t="s">
        <v>1715</v>
      </c>
      <c r="D1364" s="99" t="s">
        <v>401</v>
      </c>
      <c r="E1364" s="99" t="s">
        <v>37</v>
      </c>
      <c r="F1364" s="94">
        <v>2</v>
      </c>
      <c r="G1364" s="95">
        <v>19.5</v>
      </c>
      <c r="H1364" s="147">
        <f t="shared" si="133"/>
        <v>39</v>
      </c>
    </row>
    <row r="1365" spans="2:8" ht="38.25">
      <c r="B1365" s="145">
        <v>3925</v>
      </c>
      <c r="C1365" s="98" t="s">
        <v>1716</v>
      </c>
      <c r="D1365" s="99" t="s">
        <v>401</v>
      </c>
      <c r="E1365" s="99" t="s">
        <v>37</v>
      </c>
      <c r="F1365" s="94">
        <v>1</v>
      </c>
      <c r="G1365" s="95">
        <v>35</v>
      </c>
      <c r="H1365" s="147">
        <f t="shared" si="133"/>
        <v>35</v>
      </c>
    </row>
    <row r="1366" spans="2:8" ht="38.25">
      <c r="B1366" s="145">
        <v>396</v>
      </c>
      <c r="C1366" s="98" t="s">
        <v>1717</v>
      </c>
      <c r="D1366" s="99" t="s">
        <v>401</v>
      </c>
      <c r="E1366" s="99" t="s">
        <v>37</v>
      </c>
      <c r="F1366" s="94">
        <v>6</v>
      </c>
      <c r="G1366" s="95">
        <v>3.81</v>
      </c>
      <c r="H1366" s="147">
        <f t="shared" si="133"/>
        <v>22.86</v>
      </c>
    </row>
    <row r="1367" spans="2:8" ht="25.5">
      <c r="B1367" s="145">
        <v>421</v>
      </c>
      <c r="C1367" s="98" t="s">
        <v>1718</v>
      </c>
      <c r="D1367" s="99" t="s">
        <v>401</v>
      </c>
      <c r="E1367" s="99" t="s">
        <v>37</v>
      </c>
      <c r="F1367" s="94">
        <v>3</v>
      </c>
      <c r="G1367" s="95">
        <v>11.93</v>
      </c>
      <c r="H1367" s="147">
        <f t="shared" si="133"/>
        <v>35.79</v>
      </c>
    </row>
    <row r="1368" spans="2:8" ht="38.25">
      <c r="B1368" s="145">
        <v>425</v>
      </c>
      <c r="C1368" s="98" t="s">
        <v>1719</v>
      </c>
      <c r="D1368" s="99" t="s">
        <v>401</v>
      </c>
      <c r="E1368" s="99" t="s">
        <v>37</v>
      </c>
      <c r="F1368" s="94">
        <v>4</v>
      </c>
      <c r="G1368" s="95">
        <v>7.55</v>
      </c>
      <c r="H1368" s="147">
        <f t="shared" si="133"/>
        <v>30.2</v>
      </c>
    </row>
    <row r="1369" spans="2:8" ht="51">
      <c r="B1369" s="145">
        <v>4274</v>
      </c>
      <c r="C1369" s="98" t="s">
        <v>1720</v>
      </c>
      <c r="D1369" s="99" t="s">
        <v>401</v>
      </c>
      <c r="E1369" s="99" t="s">
        <v>37</v>
      </c>
      <c r="F1369" s="94">
        <v>1</v>
      </c>
      <c r="G1369" s="95">
        <v>105</v>
      </c>
      <c r="H1369" s="147">
        <f t="shared" si="133"/>
        <v>105</v>
      </c>
    </row>
    <row r="1370" spans="2:8" ht="38.25">
      <c r="B1370" s="145">
        <v>7572</v>
      </c>
      <c r="C1370" s="98" t="s">
        <v>1721</v>
      </c>
      <c r="D1370" s="99" t="s">
        <v>401</v>
      </c>
      <c r="E1370" s="99" t="s">
        <v>37</v>
      </c>
      <c r="F1370" s="94">
        <v>2</v>
      </c>
      <c r="G1370" s="95">
        <v>6.12</v>
      </c>
      <c r="H1370" s="147">
        <f t="shared" si="133"/>
        <v>12.24</v>
      </c>
    </row>
    <row r="1371" spans="2:8" ht="38.25">
      <c r="B1371" s="145">
        <v>7581</v>
      </c>
      <c r="C1371" s="98" t="s">
        <v>1722</v>
      </c>
      <c r="D1371" s="99" t="s">
        <v>401</v>
      </c>
      <c r="E1371" s="99" t="s">
        <v>37</v>
      </c>
      <c r="F1371" s="94">
        <v>2</v>
      </c>
      <c r="G1371" s="95">
        <v>4.5199999999999996</v>
      </c>
      <c r="H1371" s="147">
        <f t="shared" si="133"/>
        <v>9.0399999999999991</v>
      </c>
    </row>
    <row r="1372" spans="2:8" ht="38.25">
      <c r="B1372" s="145">
        <v>765</v>
      </c>
      <c r="C1372" s="98" t="s">
        <v>1723</v>
      </c>
      <c r="D1372" s="99" t="s">
        <v>401</v>
      </c>
      <c r="E1372" s="99" t="s">
        <v>37</v>
      </c>
      <c r="F1372" s="94">
        <v>1</v>
      </c>
      <c r="G1372" s="95">
        <v>8.98</v>
      </c>
      <c r="H1372" s="147">
        <f t="shared" si="133"/>
        <v>8.98</v>
      </c>
    </row>
    <row r="1373" spans="2:8" ht="25.5">
      <c r="B1373" s="145">
        <v>841</v>
      </c>
      <c r="C1373" s="98" t="s">
        <v>1724</v>
      </c>
      <c r="D1373" s="99" t="s">
        <v>401</v>
      </c>
      <c r="E1373" s="99" t="s">
        <v>112</v>
      </c>
      <c r="F1373" s="94">
        <v>1</v>
      </c>
      <c r="G1373" s="95">
        <v>28.5</v>
      </c>
      <c r="H1373" s="147">
        <f t="shared" si="133"/>
        <v>28.5</v>
      </c>
    </row>
    <row r="1374" spans="2:8">
      <c r="B1374" s="145">
        <v>863</v>
      </c>
      <c r="C1374" s="98" t="s">
        <v>1725</v>
      </c>
      <c r="D1374" s="99" t="s">
        <v>401</v>
      </c>
      <c r="E1374" s="99" t="s">
        <v>15</v>
      </c>
      <c r="F1374" s="94">
        <v>30</v>
      </c>
      <c r="G1374" s="95">
        <v>28.8</v>
      </c>
      <c r="H1374" s="147">
        <f t="shared" si="133"/>
        <v>864</v>
      </c>
    </row>
    <row r="1375" spans="2:8">
      <c r="B1375" s="145">
        <v>867</v>
      </c>
      <c r="C1375" s="98" t="s">
        <v>1726</v>
      </c>
      <c r="D1375" s="99" t="s">
        <v>401</v>
      </c>
      <c r="E1375" s="99" t="s">
        <v>15</v>
      </c>
      <c r="F1375" s="94">
        <v>20</v>
      </c>
      <c r="G1375" s="95">
        <v>40.119999999999997</v>
      </c>
      <c r="H1375" s="147">
        <f t="shared" si="133"/>
        <v>802.4</v>
      </c>
    </row>
    <row r="1376" spans="2:8" ht="25.5">
      <c r="B1376" s="145" t="s">
        <v>1625</v>
      </c>
      <c r="C1376" s="98" t="s">
        <v>1626</v>
      </c>
      <c r="D1376" s="99" t="s">
        <v>12</v>
      </c>
      <c r="E1376" s="99" t="s">
        <v>1129</v>
      </c>
      <c r="F1376" s="94">
        <v>8</v>
      </c>
      <c r="G1376" s="95">
        <v>19.84</v>
      </c>
      <c r="H1376" s="147">
        <f t="shared" si="133"/>
        <v>158.72</v>
      </c>
    </row>
    <row r="1377" spans="2:8" ht="25.5">
      <c r="B1377" s="145" t="s">
        <v>1727</v>
      </c>
      <c r="C1377" s="98" t="s">
        <v>1728</v>
      </c>
      <c r="D1377" s="99" t="s">
        <v>12</v>
      </c>
      <c r="E1377" s="99" t="s">
        <v>1129</v>
      </c>
      <c r="F1377" s="94">
        <v>8</v>
      </c>
      <c r="G1377" s="95">
        <v>25.32</v>
      </c>
      <c r="H1377" s="147">
        <f t="shared" si="133"/>
        <v>202.56</v>
      </c>
    </row>
    <row r="1378" spans="2:8" ht="25.5">
      <c r="B1378" s="204">
        <v>9860</v>
      </c>
      <c r="C1378" s="205" t="s">
        <v>1729</v>
      </c>
      <c r="D1378" s="206" t="s">
        <v>401</v>
      </c>
      <c r="E1378" s="206" t="s">
        <v>15</v>
      </c>
      <c r="F1378" s="207">
        <v>6</v>
      </c>
      <c r="G1378" s="208">
        <v>61.2</v>
      </c>
      <c r="H1378" s="209">
        <f t="shared" si="133"/>
        <v>367.20000000000005</v>
      </c>
    </row>
    <row r="1379" spans="2:8">
      <c r="B1379" s="639" t="s">
        <v>1232</v>
      </c>
      <c r="C1379" s="640"/>
      <c r="D1379" s="640"/>
      <c r="E1379" s="640"/>
      <c r="F1379" s="640"/>
      <c r="G1379" s="641"/>
      <c r="H1379" s="100">
        <f>SUM(H1350:H1378)</f>
        <v>4523.2404299999998</v>
      </c>
    </row>
    <row r="1380" spans="2:8">
      <c r="B1380" s="621"/>
      <c r="C1380" s="622"/>
      <c r="D1380" s="622"/>
      <c r="E1380" s="622"/>
      <c r="F1380" s="622"/>
      <c r="G1380" s="622"/>
      <c r="H1380" s="623"/>
    </row>
    <row r="1381" spans="2:8" ht="51">
      <c r="B1381" s="139" t="s">
        <v>2206</v>
      </c>
      <c r="C1381" s="140" t="s">
        <v>941</v>
      </c>
      <c r="D1381" s="141" t="s">
        <v>12</v>
      </c>
      <c r="E1381" s="141" t="s">
        <v>37</v>
      </c>
      <c r="F1381" s="142"/>
      <c r="G1381" s="143"/>
      <c r="H1381" s="144"/>
    </row>
    <row r="1382" spans="2:8" ht="51">
      <c r="B1382" s="145">
        <v>1562</v>
      </c>
      <c r="C1382" s="98" t="s">
        <v>1730</v>
      </c>
      <c r="D1382" s="99" t="s">
        <v>401</v>
      </c>
      <c r="E1382" s="99" t="s">
        <v>37</v>
      </c>
      <c r="F1382" s="94">
        <v>1</v>
      </c>
      <c r="G1382" s="95">
        <v>15.25</v>
      </c>
      <c r="H1382" s="147">
        <f>F1382*G1382</f>
        <v>15.25</v>
      </c>
    </row>
    <row r="1383" spans="2:8" ht="25.5">
      <c r="B1383" s="145" t="s">
        <v>1627</v>
      </c>
      <c r="C1383" s="98" t="s">
        <v>1628</v>
      </c>
      <c r="D1383" s="99" t="s">
        <v>12</v>
      </c>
      <c r="E1383" s="99" t="s">
        <v>1129</v>
      </c>
      <c r="F1383" s="94" t="s">
        <v>1335</v>
      </c>
      <c r="G1383" s="95">
        <v>25.32</v>
      </c>
      <c r="H1383" s="147">
        <f>F1383*G1383</f>
        <v>1.7724000000000002</v>
      </c>
    </row>
    <row r="1384" spans="2:8">
      <c r="B1384" s="630" t="s">
        <v>1232</v>
      </c>
      <c r="C1384" s="631"/>
      <c r="D1384" s="631"/>
      <c r="E1384" s="631"/>
      <c r="F1384" s="631"/>
      <c r="G1384" s="632"/>
      <c r="H1384" s="148">
        <f>SUM(H1382:H1383)</f>
        <v>17.022400000000001</v>
      </c>
    </row>
    <row r="1385" spans="2:8">
      <c r="B1385" s="627"/>
      <c r="C1385" s="628"/>
      <c r="D1385" s="628"/>
      <c r="E1385" s="628"/>
      <c r="F1385" s="628"/>
      <c r="G1385" s="628"/>
      <c r="H1385" s="629"/>
    </row>
    <row r="1386" spans="2:8" ht="25.5">
      <c r="B1386" s="139" t="s">
        <v>2135</v>
      </c>
      <c r="C1386" s="140" t="s">
        <v>949</v>
      </c>
      <c r="D1386" s="141" t="s">
        <v>12</v>
      </c>
      <c r="E1386" s="141" t="s">
        <v>37</v>
      </c>
      <c r="F1386" s="142"/>
      <c r="G1386" s="143"/>
      <c r="H1386" s="144"/>
    </row>
    <row r="1387" spans="2:8" ht="38.25">
      <c r="B1387" s="145">
        <v>11249</v>
      </c>
      <c r="C1387" s="98" t="s">
        <v>2136</v>
      </c>
      <c r="D1387" s="99" t="s">
        <v>401</v>
      </c>
      <c r="E1387" s="99" t="s">
        <v>37</v>
      </c>
      <c r="F1387" s="94">
        <v>1</v>
      </c>
      <c r="G1387" s="95">
        <v>4360.0200000000004</v>
      </c>
      <c r="H1387" s="147">
        <f>F1387*G1387</f>
        <v>4360.0200000000004</v>
      </c>
    </row>
    <row r="1388" spans="2:8" ht="25.5">
      <c r="B1388" s="145" t="s">
        <v>1625</v>
      </c>
      <c r="C1388" s="98" t="s">
        <v>1626</v>
      </c>
      <c r="D1388" s="99" t="s">
        <v>12</v>
      </c>
      <c r="E1388" s="99" t="s">
        <v>1129</v>
      </c>
      <c r="F1388" s="94">
        <v>6</v>
      </c>
      <c r="G1388" s="95">
        <v>19.84</v>
      </c>
      <c r="H1388" s="147">
        <f t="shared" ref="H1388:H1389" si="134">F1388*G1388</f>
        <v>119.03999999999999</v>
      </c>
    </row>
    <row r="1389" spans="2:8" ht="25.5">
      <c r="B1389" s="145" t="s">
        <v>1627</v>
      </c>
      <c r="C1389" s="98" t="s">
        <v>1628</v>
      </c>
      <c r="D1389" s="99" t="s">
        <v>12</v>
      </c>
      <c r="E1389" s="99" t="s">
        <v>1129</v>
      </c>
      <c r="F1389" s="94">
        <v>6</v>
      </c>
      <c r="G1389" s="95">
        <v>25.32</v>
      </c>
      <c r="H1389" s="147">
        <f t="shared" si="134"/>
        <v>151.92000000000002</v>
      </c>
    </row>
    <row r="1390" spans="2:8">
      <c r="B1390" s="630" t="s">
        <v>1232</v>
      </c>
      <c r="C1390" s="631"/>
      <c r="D1390" s="631"/>
      <c r="E1390" s="631"/>
      <c r="F1390" s="631"/>
      <c r="G1390" s="632"/>
      <c r="H1390" s="148">
        <f>SUM(H1387:H1389)</f>
        <v>4630.9800000000005</v>
      </c>
    </row>
    <row r="1391" spans="2:8">
      <c r="B1391" s="627"/>
      <c r="C1391" s="628"/>
      <c r="D1391" s="628"/>
      <c r="E1391" s="628"/>
      <c r="F1391" s="628"/>
      <c r="G1391" s="628"/>
      <c r="H1391" s="629"/>
    </row>
    <row r="1392" spans="2:8" ht="51">
      <c r="B1392" s="139" t="s">
        <v>2137</v>
      </c>
      <c r="C1392" s="140" t="s">
        <v>950</v>
      </c>
      <c r="D1392" s="141" t="s">
        <v>12</v>
      </c>
      <c r="E1392" s="141" t="s">
        <v>37</v>
      </c>
      <c r="F1392" s="142"/>
      <c r="G1392" s="143"/>
      <c r="H1392" s="144"/>
    </row>
    <row r="1393" spans="2:8">
      <c r="B1393" s="145">
        <v>32</v>
      </c>
      <c r="C1393" s="98" t="s">
        <v>1731</v>
      </c>
      <c r="D1393" s="99" t="s">
        <v>401</v>
      </c>
      <c r="E1393" s="99" t="s">
        <v>112</v>
      </c>
      <c r="F1393" s="94">
        <v>3.78</v>
      </c>
      <c r="G1393" s="95">
        <v>12.08</v>
      </c>
      <c r="H1393" s="147">
        <f>F1393*G1393</f>
        <v>45.662399999999998</v>
      </c>
    </row>
    <row r="1394" spans="2:8" ht="25.5">
      <c r="B1394" s="145">
        <v>345</v>
      </c>
      <c r="C1394" s="98" t="s">
        <v>2138</v>
      </c>
      <c r="D1394" s="99" t="s">
        <v>401</v>
      </c>
      <c r="E1394" s="99" t="s">
        <v>112</v>
      </c>
      <c r="F1394" s="94" t="s">
        <v>1359</v>
      </c>
      <c r="G1394" s="95">
        <v>39.15</v>
      </c>
      <c r="H1394" s="147">
        <f t="shared" ref="H1394:H1404" si="135">F1394*G1394</f>
        <v>4.4239499999999996</v>
      </c>
    </row>
    <row r="1395" spans="2:8" ht="89.25">
      <c r="B1395" s="145" t="s">
        <v>2830</v>
      </c>
      <c r="C1395" s="98" t="s">
        <v>1732</v>
      </c>
      <c r="D1395" s="99" t="s">
        <v>12</v>
      </c>
      <c r="E1395" s="99" t="s">
        <v>24</v>
      </c>
      <c r="F1395" s="94">
        <v>1.1499999999999999</v>
      </c>
      <c r="G1395" s="95">
        <v>68.67</v>
      </c>
      <c r="H1395" s="147">
        <f t="shared" si="135"/>
        <v>78.970500000000001</v>
      </c>
    </row>
    <row r="1396" spans="2:8" ht="114.75">
      <c r="B1396" s="145" t="s">
        <v>1733</v>
      </c>
      <c r="C1396" s="98" t="s">
        <v>1734</v>
      </c>
      <c r="D1396" s="99" t="s">
        <v>12</v>
      </c>
      <c r="E1396" s="99" t="s">
        <v>24</v>
      </c>
      <c r="F1396" s="94" t="s">
        <v>1269</v>
      </c>
      <c r="G1396" s="95">
        <v>26.19</v>
      </c>
      <c r="H1396" s="147">
        <f t="shared" si="135"/>
        <v>24.880500000000001</v>
      </c>
    </row>
    <row r="1397" spans="2:8" ht="63.75">
      <c r="B1397" s="145" t="s">
        <v>436</v>
      </c>
      <c r="C1397" s="98" t="s">
        <v>437</v>
      </c>
      <c r="D1397" s="99" t="s">
        <v>12</v>
      </c>
      <c r="E1397" s="99" t="s">
        <v>24</v>
      </c>
      <c r="F1397" s="94" t="s">
        <v>1269</v>
      </c>
      <c r="G1397" s="95">
        <v>3.9</v>
      </c>
      <c r="H1397" s="147">
        <f t="shared" si="135"/>
        <v>3.7049999999999996</v>
      </c>
    </row>
    <row r="1398" spans="2:8" ht="25.5">
      <c r="B1398" s="145" t="s">
        <v>1333</v>
      </c>
      <c r="C1398" s="98" t="s">
        <v>1334</v>
      </c>
      <c r="D1398" s="99" t="s">
        <v>12</v>
      </c>
      <c r="E1398" s="99" t="s">
        <v>1129</v>
      </c>
      <c r="F1398" s="94" t="s">
        <v>1364</v>
      </c>
      <c r="G1398" s="95">
        <v>24.93</v>
      </c>
      <c r="H1398" s="147">
        <f t="shared" si="135"/>
        <v>4.9860000000000007</v>
      </c>
    </row>
    <row r="1399" spans="2:8" ht="25.5">
      <c r="B1399" s="145" t="s">
        <v>1338</v>
      </c>
      <c r="C1399" s="98" t="s">
        <v>1339</v>
      </c>
      <c r="D1399" s="99" t="s">
        <v>12</v>
      </c>
      <c r="E1399" s="99" t="s">
        <v>1129</v>
      </c>
      <c r="F1399" s="94" t="s">
        <v>1735</v>
      </c>
      <c r="G1399" s="95">
        <v>25.07</v>
      </c>
      <c r="H1399" s="147">
        <f t="shared" si="135"/>
        <v>23.064400000000003</v>
      </c>
    </row>
    <row r="1400" spans="2:8" ht="25.5">
      <c r="B1400" s="145" t="s">
        <v>1286</v>
      </c>
      <c r="C1400" s="98" t="s">
        <v>1287</v>
      </c>
      <c r="D1400" s="99" t="s">
        <v>12</v>
      </c>
      <c r="E1400" s="99" t="s">
        <v>1129</v>
      </c>
      <c r="F1400" s="94" t="s">
        <v>1735</v>
      </c>
      <c r="G1400" s="95">
        <v>18.649999999999999</v>
      </c>
      <c r="H1400" s="147">
        <f t="shared" si="135"/>
        <v>17.157999999999998</v>
      </c>
    </row>
    <row r="1401" spans="2:8" ht="66.75" customHeight="1">
      <c r="B1401" s="145" t="s">
        <v>1739</v>
      </c>
      <c r="C1401" s="98" t="s">
        <v>2139</v>
      </c>
      <c r="D1401" s="99" t="s">
        <v>12</v>
      </c>
      <c r="E1401" s="99" t="s">
        <v>24</v>
      </c>
      <c r="F1401" s="94" t="s">
        <v>1592</v>
      </c>
      <c r="G1401" s="95">
        <v>204.05</v>
      </c>
      <c r="H1401" s="147">
        <f t="shared" si="135"/>
        <v>28.567000000000004</v>
      </c>
    </row>
    <row r="1402" spans="2:8" ht="51">
      <c r="B1402" s="145" t="s">
        <v>1288</v>
      </c>
      <c r="C1402" s="98" t="s">
        <v>1289</v>
      </c>
      <c r="D1402" s="99" t="s">
        <v>12</v>
      </c>
      <c r="E1402" s="99" t="s">
        <v>75</v>
      </c>
      <c r="F1402" s="94" t="s">
        <v>1582</v>
      </c>
      <c r="G1402" s="95">
        <v>398.61</v>
      </c>
      <c r="H1402" s="147">
        <f t="shared" si="135"/>
        <v>15.147180000000001</v>
      </c>
    </row>
    <row r="1403" spans="2:8" ht="51">
      <c r="B1403" s="145" t="s">
        <v>1736</v>
      </c>
      <c r="C1403" s="98" t="s">
        <v>1737</v>
      </c>
      <c r="D1403" s="99" t="s">
        <v>12</v>
      </c>
      <c r="E1403" s="99" t="s">
        <v>75</v>
      </c>
      <c r="F1403" s="94" t="s">
        <v>1301</v>
      </c>
      <c r="G1403" s="95">
        <v>427.67</v>
      </c>
      <c r="H1403" s="147">
        <f t="shared" si="135"/>
        <v>9.4087399999999999</v>
      </c>
    </row>
    <row r="1404" spans="2:8" ht="51">
      <c r="B1404" s="145" t="s">
        <v>1399</v>
      </c>
      <c r="C1404" s="98" t="s">
        <v>1400</v>
      </c>
      <c r="D1404" s="99" t="s">
        <v>12</v>
      </c>
      <c r="E1404" s="99" t="s">
        <v>75</v>
      </c>
      <c r="F1404" s="94" t="s">
        <v>1636</v>
      </c>
      <c r="G1404" s="95">
        <v>453.98</v>
      </c>
      <c r="H1404" s="147">
        <f t="shared" si="135"/>
        <v>20.88308</v>
      </c>
    </row>
    <row r="1405" spans="2:8">
      <c r="B1405" s="630" t="s">
        <v>1232</v>
      </c>
      <c r="C1405" s="631"/>
      <c r="D1405" s="631"/>
      <c r="E1405" s="631"/>
      <c r="F1405" s="631"/>
      <c r="G1405" s="632"/>
      <c r="H1405" s="148">
        <f>SUM(H1393:H1404)</f>
        <v>276.85674999999998</v>
      </c>
    </row>
    <row r="1406" spans="2:8">
      <c r="B1406" s="627"/>
      <c r="C1406" s="628"/>
      <c r="D1406" s="628"/>
      <c r="E1406" s="628"/>
      <c r="F1406" s="628"/>
      <c r="G1406" s="628"/>
      <c r="H1406" s="629"/>
    </row>
    <row r="1407" spans="2:8" ht="51">
      <c r="B1407" s="139" t="s">
        <v>2140</v>
      </c>
      <c r="C1407" s="140" t="s">
        <v>951</v>
      </c>
      <c r="D1407" s="141" t="s">
        <v>12</v>
      </c>
      <c r="E1407" s="141" t="s">
        <v>37</v>
      </c>
      <c r="F1407" s="142"/>
      <c r="G1407" s="143"/>
      <c r="H1407" s="144"/>
    </row>
    <row r="1408" spans="2:8">
      <c r="B1408" s="145">
        <v>32</v>
      </c>
      <c r="C1408" s="98" t="s">
        <v>1731</v>
      </c>
      <c r="D1408" s="99" t="s">
        <v>401</v>
      </c>
      <c r="E1408" s="99" t="s">
        <v>112</v>
      </c>
      <c r="F1408" s="94">
        <v>22.81</v>
      </c>
      <c r="G1408" s="95">
        <v>12.08</v>
      </c>
      <c r="H1408" s="147">
        <f>F1408*G1408</f>
        <v>275.54480000000001</v>
      </c>
    </row>
    <row r="1409" spans="2:8" ht="25.5">
      <c r="B1409" s="145">
        <v>345</v>
      </c>
      <c r="C1409" s="98" t="s">
        <v>2138</v>
      </c>
      <c r="D1409" s="99" t="s">
        <v>401</v>
      </c>
      <c r="E1409" s="99" t="s">
        <v>112</v>
      </c>
      <c r="F1409" s="94" t="s">
        <v>1738</v>
      </c>
      <c r="G1409" s="95">
        <v>39.15</v>
      </c>
      <c r="H1409" s="147">
        <f t="shared" ref="H1409:H1419" si="136">F1409*G1409</f>
        <v>26.778600000000001</v>
      </c>
    </row>
    <row r="1410" spans="2:8" ht="89.25">
      <c r="B1410" s="145" t="s">
        <v>2830</v>
      </c>
      <c r="C1410" s="98" t="s">
        <v>1732</v>
      </c>
      <c r="D1410" s="99" t="s">
        <v>12</v>
      </c>
      <c r="E1410" s="99" t="s">
        <v>24</v>
      </c>
      <c r="F1410" s="94">
        <v>7.02</v>
      </c>
      <c r="G1410" s="95">
        <v>68.67</v>
      </c>
      <c r="H1410" s="147">
        <f t="shared" si="136"/>
        <v>482.0634</v>
      </c>
    </row>
    <row r="1411" spans="2:8" ht="114.75">
      <c r="B1411" s="145" t="s">
        <v>1733</v>
      </c>
      <c r="C1411" s="98" t="s">
        <v>1734</v>
      </c>
      <c r="D1411" s="99" t="s">
        <v>12</v>
      </c>
      <c r="E1411" s="99" t="s">
        <v>24</v>
      </c>
      <c r="F1411" s="94">
        <v>6.5</v>
      </c>
      <c r="G1411" s="95">
        <v>26.19</v>
      </c>
      <c r="H1411" s="147">
        <f t="shared" si="136"/>
        <v>170.23500000000001</v>
      </c>
    </row>
    <row r="1412" spans="2:8" ht="63.75">
      <c r="B1412" s="145" t="s">
        <v>436</v>
      </c>
      <c r="C1412" s="98" t="s">
        <v>437</v>
      </c>
      <c r="D1412" s="99" t="s">
        <v>12</v>
      </c>
      <c r="E1412" s="99" t="s">
        <v>24</v>
      </c>
      <c r="F1412" s="94">
        <v>6.5</v>
      </c>
      <c r="G1412" s="95">
        <v>3.9</v>
      </c>
      <c r="H1412" s="147">
        <f t="shared" si="136"/>
        <v>25.349999999999998</v>
      </c>
    </row>
    <row r="1413" spans="2:8" ht="25.5">
      <c r="B1413" s="145" t="s">
        <v>1333</v>
      </c>
      <c r="C1413" s="98" t="s">
        <v>1334</v>
      </c>
      <c r="D1413" s="99" t="s">
        <v>12</v>
      </c>
      <c r="E1413" s="99" t="s">
        <v>1129</v>
      </c>
      <c r="F1413" s="94" t="s">
        <v>1365</v>
      </c>
      <c r="G1413" s="95">
        <v>24.93</v>
      </c>
      <c r="H1413" s="147">
        <f t="shared" si="136"/>
        <v>22.437000000000001</v>
      </c>
    </row>
    <row r="1414" spans="2:8" ht="25.5">
      <c r="B1414" s="145" t="s">
        <v>1338</v>
      </c>
      <c r="C1414" s="98" t="s">
        <v>1339</v>
      </c>
      <c r="D1414" s="99" t="s">
        <v>12</v>
      </c>
      <c r="E1414" s="99" t="s">
        <v>1129</v>
      </c>
      <c r="F1414" s="94">
        <v>5.62</v>
      </c>
      <c r="G1414" s="95">
        <v>25.07</v>
      </c>
      <c r="H1414" s="147">
        <f t="shared" si="136"/>
        <v>140.89340000000001</v>
      </c>
    </row>
    <row r="1415" spans="2:8" ht="25.5">
      <c r="B1415" s="145" t="s">
        <v>1286</v>
      </c>
      <c r="C1415" s="98" t="s">
        <v>1287</v>
      </c>
      <c r="D1415" s="99" t="s">
        <v>12</v>
      </c>
      <c r="E1415" s="99" t="s">
        <v>1129</v>
      </c>
      <c r="F1415" s="94">
        <v>5.62</v>
      </c>
      <c r="G1415" s="95">
        <v>18.649999999999999</v>
      </c>
      <c r="H1415" s="147">
        <f t="shared" si="136"/>
        <v>104.81299999999999</v>
      </c>
    </row>
    <row r="1416" spans="2:8" ht="66.75" customHeight="1">
      <c r="B1416" s="145" t="s">
        <v>1739</v>
      </c>
      <c r="C1416" s="98" t="s">
        <v>2139</v>
      </c>
      <c r="D1416" s="99" t="s">
        <v>12</v>
      </c>
      <c r="E1416" s="99" t="s">
        <v>24</v>
      </c>
      <c r="F1416" s="94" t="s">
        <v>1740</v>
      </c>
      <c r="G1416" s="95">
        <v>204.05</v>
      </c>
      <c r="H1416" s="147">
        <f t="shared" si="136"/>
        <v>95.903499999999994</v>
      </c>
    </row>
    <row r="1417" spans="2:8" ht="51">
      <c r="B1417" s="145" t="s">
        <v>1288</v>
      </c>
      <c r="C1417" s="98" t="s">
        <v>1289</v>
      </c>
      <c r="D1417" s="99" t="s">
        <v>12</v>
      </c>
      <c r="E1417" s="99" t="s">
        <v>75</v>
      </c>
      <c r="F1417" s="94" t="s">
        <v>1741</v>
      </c>
      <c r="G1417" s="95">
        <v>398.61</v>
      </c>
      <c r="H1417" s="147">
        <f t="shared" si="136"/>
        <v>86.896979999999999</v>
      </c>
    </row>
    <row r="1418" spans="2:8" ht="51">
      <c r="B1418" s="145" t="s">
        <v>1736</v>
      </c>
      <c r="C1418" s="98" t="s">
        <v>1737</v>
      </c>
      <c r="D1418" s="99" t="s">
        <v>12</v>
      </c>
      <c r="E1418" s="99" t="s">
        <v>75</v>
      </c>
      <c r="F1418" s="94" t="s">
        <v>1742</v>
      </c>
      <c r="G1418" s="95">
        <v>427.67</v>
      </c>
      <c r="H1418" s="147">
        <f t="shared" si="136"/>
        <v>72.276230000000012</v>
      </c>
    </row>
    <row r="1419" spans="2:8" ht="51">
      <c r="B1419" s="145" t="s">
        <v>1399</v>
      </c>
      <c r="C1419" s="98" t="s">
        <v>1400</v>
      </c>
      <c r="D1419" s="99" t="s">
        <v>12</v>
      </c>
      <c r="E1419" s="99" t="s">
        <v>75</v>
      </c>
      <c r="F1419" s="94" t="s">
        <v>1743</v>
      </c>
      <c r="G1419" s="95">
        <v>453.98</v>
      </c>
      <c r="H1419" s="147">
        <f t="shared" si="136"/>
        <v>127.47758400000001</v>
      </c>
    </row>
    <row r="1420" spans="2:8">
      <c r="B1420" s="630" t="s">
        <v>1232</v>
      </c>
      <c r="C1420" s="631"/>
      <c r="D1420" s="631"/>
      <c r="E1420" s="631"/>
      <c r="F1420" s="631"/>
      <c r="G1420" s="632"/>
      <c r="H1420" s="148">
        <f>SUM(H1408:H1419)</f>
        <v>1630.669494</v>
      </c>
    </row>
    <row r="1421" spans="2:8">
      <c r="B1421" s="621"/>
      <c r="C1421" s="622"/>
      <c r="D1421" s="622"/>
      <c r="E1421" s="622"/>
      <c r="F1421" s="622"/>
      <c r="G1421" s="622"/>
      <c r="H1421" s="623"/>
    </row>
    <row r="1422" spans="2:8" ht="51">
      <c r="B1422" s="139" t="s">
        <v>2141</v>
      </c>
      <c r="C1422" s="140" t="s">
        <v>960</v>
      </c>
      <c r="D1422" s="141" t="s">
        <v>12</v>
      </c>
      <c r="E1422" s="141" t="s">
        <v>15</v>
      </c>
      <c r="F1422" s="142"/>
      <c r="G1422" s="143"/>
      <c r="H1422" s="144"/>
    </row>
    <row r="1423" spans="2:8">
      <c r="B1423" s="145">
        <v>88247</v>
      </c>
      <c r="C1423" s="98" t="s">
        <v>1257</v>
      </c>
      <c r="D1423" s="99" t="s">
        <v>1229</v>
      </c>
      <c r="E1423" s="99" t="s">
        <v>1129</v>
      </c>
      <c r="F1423" s="94" t="s">
        <v>1691</v>
      </c>
      <c r="G1423" s="95">
        <v>19.84</v>
      </c>
      <c r="H1423" s="147">
        <f>F1423*G1423</f>
        <v>8.9280000000000008</v>
      </c>
    </row>
    <row r="1424" spans="2:8">
      <c r="B1424" s="145">
        <v>88264</v>
      </c>
      <c r="C1424" s="98" t="s">
        <v>1258</v>
      </c>
      <c r="D1424" s="99" t="s">
        <v>1229</v>
      </c>
      <c r="E1424" s="99" t="s">
        <v>1129</v>
      </c>
      <c r="F1424" s="94" t="s">
        <v>1691</v>
      </c>
      <c r="G1424" s="95">
        <v>25.32</v>
      </c>
      <c r="H1424" s="147">
        <f t="shared" ref="H1424:H1434" si="137">F1424*G1424</f>
        <v>11.394</v>
      </c>
    </row>
    <row r="1425" spans="2:8" ht="38.25">
      <c r="B1425" s="145" t="s">
        <v>1667</v>
      </c>
      <c r="C1425" s="98" t="s">
        <v>1668</v>
      </c>
      <c r="D1425" s="99" t="s">
        <v>401</v>
      </c>
      <c r="E1425" s="99" t="s">
        <v>15</v>
      </c>
      <c r="F1425" s="94" t="s">
        <v>1469</v>
      </c>
      <c r="G1425" s="95">
        <f>3.91*1.2217</f>
        <v>4.7768470000000001</v>
      </c>
      <c r="H1425" s="147">
        <f t="shared" si="137"/>
        <v>3.8214776000000001</v>
      </c>
    </row>
    <row r="1426" spans="2:8">
      <c r="B1426" s="145">
        <v>39997</v>
      </c>
      <c r="C1426" s="98" t="s">
        <v>2109</v>
      </c>
      <c r="D1426" s="99" t="s">
        <v>401</v>
      </c>
      <c r="E1426" s="99" t="s">
        <v>37</v>
      </c>
      <c r="F1426" s="94">
        <v>4.0033333329999996</v>
      </c>
      <c r="G1426" s="95">
        <v>0.14000000000000001</v>
      </c>
      <c r="H1426" s="147">
        <f t="shared" si="137"/>
        <v>0.56046666662</v>
      </c>
    </row>
    <row r="1427" spans="2:8">
      <c r="B1427" s="145" t="s">
        <v>2826</v>
      </c>
      <c r="C1427" s="98" t="s">
        <v>2110</v>
      </c>
      <c r="D1427" s="99" t="s">
        <v>401</v>
      </c>
      <c r="E1427" s="99" t="s">
        <v>37</v>
      </c>
      <c r="F1427" s="94">
        <v>4.0033333329999996</v>
      </c>
      <c r="G1427" s="95">
        <v>0.05</v>
      </c>
      <c r="H1427" s="147">
        <f t="shared" si="137"/>
        <v>0.20016666664999999</v>
      </c>
    </row>
    <row r="1428" spans="2:8" ht="29.25" customHeight="1">
      <c r="B1428" s="145" t="s">
        <v>2142</v>
      </c>
      <c r="C1428" s="98" t="s">
        <v>1682</v>
      </c>
      <c r="D1428" s="99" t="s">
        <v>401</v>
      </c>
      <c r="E1428" s="99" t="s">
        <v>37</v>
      </c>
      <c r="F1428" s="94" t="s">
        <v>1435</v>
      </c>
      <c r="G1428" s="95">
        <v>6.7</v>
      </c>
      <c r="H1428" s="147">
        <f t="shared" si="137"/>
        <v>4.4890000000000008</v>
      </c>
    </row>
    <row r="1429" spans="2:8" ht="38.25">
      <c r="B1429" s="145" t="s">
        <v>2121</v>
      </c>
      <c r="C1429" s="98" t="s">
        <v>2143</v>
      </c>
      <c r="D1429" s="99" t="s">
        <v>401</v>
      </c>
      <c r="E1429" s="99" t="s">
        <v>15</v>
      </c>
      <c r="F1429" s="94">
        <v>0.19142997</v>
      </c>
      <c r="G1429" s="95">
        <v>47.6</v>
      </c>
      <c r="H1429" s="147">
        <f t="shared" si="137"/>
        <v>9.1120665719999998</v>
      </c>
    </row>
    <row r="1430" spans="2:8" ht="25.5">
      <c r="B1430" s="145" t="s">
        <v>1745</v>
      </c>
      <c r="C1430" s="98" t="s">
        <v>1746</v>
      </c>
      <c r="D1430" s="99" t="s">
        <v>401</v>
      </c>
      <c r="E1430" s="99" t="s">
        <v>15</v>
      </c>
      <c r="F1430" s="94">
        <v>1.05</v>
      </c>
      <c r="G1430" s="95">
        <f>10.82*1.2217</f>
        <v>13.218794000000001</v>
      </c>
      <c r="H1430" s="147">
        <f t="shared" si="137"/>
        <v>13.879733700000001</v>
      </c>
    </row>
    <row r="1431" spans="2:8" ht="32.25" customHeight="1">
      <c r="B1431" s="145" t="s">
        <v>1686</v>
      </c>
      <c r="C1431" s="98" t="s">
        <v>1687</v>
      </c>
      <c r="D1431" s="99" t="s">
        <v>401</v>
      </c>
      <c r="E1431" s="99" t="s">
        <v>37</v>
      </c>
      <c r="F1431" s="94" t="s">
        <v>1435</v>
      </c>
      <c r="G1431" s="95">
        <f>3.53*1.2217</f>
        <v>4.3126009999999999</v>
      </c>
      <c r="H1431" s="147">
        <f t="shared" si="137"/>
        <v>2.8894426700000002</v>
      </c>
    </row>
    <row r="1432" spans="2:8">
      <c r="B1432" s="145" t="s">
        <v>2115</v>
      </c>
      <c r="C1432" s="98" t="s">
        <v>1671</v>
      </c>
      <c r="D1432" s="99" t="s">
        <v>401</v>
      </c>
      <c r="E1432" s="99" t="s">
        <v>37</v>
      </c>
      <c r="F1432" s="94">
        <v>2.67</v>
      </c>
      <c r="G1432" s="95">
        <v>0.52</v>
      </c>
      <c r="H1432" s="147">
        <f t="shared" si="137"/>
        <v>1.3884000000000001</v>
      </c>
    </row>
    <row r="1433" spans="2:8">
      <c r="B1433" s="145" t="s">
        <v>1672</v>
      </c>
      <c r="C1433" s="98" t="s">
        <v>1673</v>
      </c>
      <c r="D1433" s="99" t="s">
        <v>401</v>
      </c>
      <c r="E1433" s="99" t="s">
        <v>37</v>
      </c>
      <c r="F1433" s="94" t="s">
        <v>1674</v>
      </c>
      <c r="G1433" s="95">
        <f>3.72*1.2217</f>
        <v>4.5447240000000004</v>
      </c>
      <c r="H1433" s="147">
        <f t="shared" si="137"/>
        <v>3.029816001514908</v>
      </c>
    </row>
    <row r="1434" spans="2:8" ht="38.25">
      <c r="B1434" s="145" t="s">
        <v>1688</v>
      </c>
      <c r="C1434" s="98" t="s">
        <v>1689</v>
      </c>
      <c r="D1434" s="99" t="s">
        <v>12</v>
      </c>
      <c r="E1434" s="99" t="s">
        <v>37</v>
      </c>
      <c r="F1434" s="94" t="s">
        <v>1435</v>
      </c>
      <c r="G1434" s="95">
        <f>6.64*1.2217</f>
        <v>8.112088</v>
      </c>
      <c r="H1434" s="147">
        <f t="shared" si="137"/>
        <v>5.4350989600000004</v>
      </c>
    </row>
    <row r="1435" spans="2:8">
      <c r="B1435" s="630" t="s">
        <v>1232</v>
      </c>
      <c r="C1435" s="631"/>
      <c r="D1435" s="631"/>
      <c r="E1435" s="631"/>
      <c r="F1435" s="631"/>
      <c r="G1435" s="632"/>
      <c r="H1435" s="148">
        <f>SUM(H1423:H1434)</f>
        <v>65.12766883678492</v>
      </c>
    </row>
    <row r="1436" spans="2:8">
      <c r="B1436" s="639"/>
      <c r="C1436" s="640"/>
      <c r="D1436" s="640"/>
      <c r="E1436" s="640"/>
      <c r="F1436" s="640"/>
      <c r="G1436" s="640"/>
      <c r="H1436" s="641"/>
    </row>
    <row r="1437" spans="2:8">
      <c r="B1437" s="621"/>
      <c r="C1437" s="622"/>
      <c r="D1437" s="622"/>
      <c r="E1437" s="622"/>
      <c r="F1437" s="622"/>
      <c r="G1437" s="622"/>
      <c r="H1437" s="623"/>
    </row>
    <row r="1438" spans="2:8" ht="63.75">
      <c r="B1438" s="139" t="s">
        <v>2144</v>
      </c>
      <c r="C1438" s="140" t="s">
        <v>961</v>
      </c>
      <c r="D1438" s="141" t="s">
        <v>12</v>
      </c>
      <c r="E1438" s="141" t="s">
        <v>15</v>
      </c>
      <c r="F1438" s="142"/>
      <c r="G1438" s="143"/>
      <c r="H1438" s="144"/>
    </row>
    <row r="1439" spans="2:8">
      <c r="B1439" s="145">
        <v>88247</v>
      </c>
      <c r="C1439" s="98" t="s">
        <v>1257</v>
      </c>
      <c r="D1439" s="99" t="s">
        <v>1229</v>
      </c>
      <c r="E1439" s="99" t="s">
        <v>1129</v>
      </c>
      <c r="F1439" s="94" t="s">
        <v>1747</v>
      </c>
      <c r="G1439" s="95">
        <v>19.84</v>
      </c>
      <c r="H1439" s="147">
        <f>F1439*G1439</f>
        <v>13.0944</v>
      </c>
    </row>
    <row r="1440" spans="2:8">
      <c r="B1440" s="145">
        <v>88264</v>
      </c>
      <c r="C1440" s="98" t="s">
        <v>1258</v>
      </c>
      <c r="D1440" s="99" t="s">
        <v>1229</v>
      </c>
      <c r="E1440" s="99" t="s">
        <v>1129</v>
      </c>
      <c r="F1440" s="94" t="s">
        <v>1747</v>
      </c>
      <c r="G1440" s="95">
        <v>25.32</v>
      </c>
      <c r="H1440" s="147">
        <f t="shared" ref="H1440:H1450" si="138">F1440*G1440</f>
        <v>16.711200000000002</v>
      </c>
    </row>
    <row r="1441" spans="2:8" ht="38.25">
      <c r="B1441" s="145" t="s">
        <v>1667</v>
      </c>
      <c r="C1441" s="98" t="s">
        <v>1668</v>
      </c>
      <c r="D1441" s="99" t="s">
        <v>401</v>
      </c>
      <c r="E1441" s="99" t="s">
        <v>15</v>
      </c>
      <c r="F1441" s="94">
        <v>1.6</v>
      </c>
      <c r="G1441" s="95">
        <f>3.91*1.2217</f>
        <v>4.7768470000000001</v>
      </c>
      <c r="H1441" s="147">
        <f t="shared" si="138"/>
        <v>7.6429552000000003</v>
      </c>
    </row>
    <row r="1442" spans="2:8">
      <c r="B1442" s="145">
        <v>39997</v>
      </c>
      <c r="C1442" s="98" t="s">
        <v>2109</v>
      </c>
      <c r="D1442" s="99" t="s">
        <v>401</v>
      </c>
      <c r="E1442" s="99" t="s">
        <v>37</v>
      </c>
      <c r="F1442" s="94">
        <v>5.3366666670000003</v>
      </c>
      <c r="G1442" s="95">
        <v>0.28000000000000003</v>
      </c>
      <c r="H1442" s="147">
        <f t="shared" si="138"/>
        <v>1.4942666667600002</v>
      </c>
    </row>
    <row r="1443" spans="2:8">
      <c r="B1443" s="145" t="s">
        <v>2826</v>
      </c>
      <c r="C1443" s="98" t="s">
        <v>2110</v>
      </c>
      <c r="D1443" s="99" t="s">
        <v>401</v>
      </c>
      <c r="E1443" s="99" t="s">
        <v>37</v>
      </c>
      <c r="F1443" s="94">
        <v>5.34</v>
      </c>
      <c r="G1443" s="95">
        <v>0.05</v>
      </c>
      <c r="H1443" s="147">
        <f t="shared" si="138"/>
        <v>0.26700000000000002</v>
      </c>
    </row>
    <row r="1444" spans="2:8" ht="38.25">
      <c r="B1444" s="145" t="s">
        <v>2121</v>
      </c>
      <c r="C1444" s="98" t="s">
        <v>2143</v>
      </c>
      <c r="D1444" s="99" t="s">
        <v>401</v>
      </c>
      <c r="E1444" s="99" t="s">
        <v>15</v>
      </c>
      <c r="F1444" s="94">
        <v>0.218636626</v>
      </c>
      <c r="G1444" s="95">
        <v>47.6</v>
      </c>
      <c r="H1444" s="147">
        <f t="shared" si="138"/>
        <v>10.4071033976</v>
      </c>
    </row>
    <row r="1445" spans="2:8" ht="38.25">
      <c r="B1445" s="145" t="s">
        <v>1748</v>
      </c>
      <c r="C1445" s="98" t="s">
        <v>1749</v>
      </c>
      <c r="D1445" s="99" t="s">
        <v>401</v>
      </c>
      <c r="E1445" s="99" t="s">
        <v>15</v>
      </c>
      <c r="F1445" s="94">
        <v>1.2</v>
      </c>
      <c r="G1445" s="95">
        <f>11.94*1.2217</f>
        <v>14.587097999999999</v>
      </c>
      <c r="H1445" s="147">
        <f t="shared" si="138"/>
        <v>17.5045176</v>
      </c>
    </row>
    <row r="1446" spans="2:8" ht="25.5">
      <c r="B1446" s="145" t="s">
        <v>1686</v>
      </c>
      <c r="C1446" s="98" t="s">
        <v>1687</v>
      </c>
      <c r="D1446" s="99" t="s">
        <v>401</v>
      </c>
      <c r="E1446" s="99" t="s">
        <v>37</v>
      </c>
      <c r="F1446" s="94">
        <v>1.3333333329999999</v>
      </c>
      <c r="G1446" s="95">
        <f>3.53*1.2217</f>
        <v>4.3126009999999999</v>
      </c>
      <c r="H1446" s="147">
        <f t="shared" si="138"/>
        <v>5.7501346652291323</v>
      </c>
    </row>
    <row r="1447" spans="2:8">
      <c r="B1447" s="145" t="s">
        <v>2115</v>
      </c>
      <c r="C1447" s="98" t="s">
        <v>1671</v>
      </c>
      <c r="D1447" s="99" t="s">
        <v>401</v>
      </c>
      <c r="E1447" s="99" t="s">
        <v>37</v>
      </c>
      <c r="F1447" s="94">
        <v>2.67</v>
      </c>
      <c r="G1447" s="95">
        <v>0.52</v>
      </c>
      <c r="H1447" s="147">
        <f t="shared" si="138"/>
        <v>1.3884000000000001</v>
      </c>
    </row>
    <row r="1448" spans="2:8">
      <c r="B1448" s="145" t="s">
        <v>1750</v>
      </c>
      <c r="C1448" s="98" t="s">
        <v>1751</v>
      </c>
      <c r="D1448" s="99" t="s">
        <v>401</v>
      </c>
      <c r="E1448" s="99" t="s">
        <v>37</v>
      </c>
      <c r="F1448" s="94" t="s">
        <v>1435</v>
      </c>
      <c r="G1448" s="95">
        <f>5.3*1.2217</f>
        <v>6.4750100000000002</v>
      </c>
      <c r="H1448" s="147">
        <f t="shared" si="138"/>
        <v>4.3382567000000005</v>
      </c>
    </row>
    <row r="1449" spans="2:8" ht="25.5">
      <c r="B1449" s="145" t="s">
        <v>1752</v>
      </c>
      <c r="C1449" s="98" t="s">
        <v>1753</v>
      </c>
      <c r="D1449" s="99" t="s">
        <v>401</v>
      </c>
      <c r="E1449" s="99" t="s">
        <v>37</v>
      </c>
      <c r="F1449" s="94" t="s">
        <v>1435</v>
      </c>
      <c r="G1449" s="95">
        <f>2.13*1.2217</f>
        <v>2.6022209999999997</v>
      </c>
      <c r="H1449" s="147">
        <f t="shared" si="138"/>
        <v>1.7434880699999999</v>
      </c>
    </row>
    <row r="1450" spans="2:8" ht="38.25">
      <c r="B1450" s="145" t="s">
        <v>1688</v>
      </c>
      <c r="C1450" s="98" t="s">
        <v>1689</v>
      </c>
      <c r="D1450" s="99" t="s">
        <v>12</v>
      </c>
      <c r="E1450" s="99" t="s">
        <v>37</v>
      </c>
      <c r="F1450" s="94">
        <v>1.3333333329999999</v>
      </c>
      <c r="G1450" s="95">
        <f>6.64*1.2217</f>
        <v>8.112088</v>
      </c>
      <c r="H1450" s="147">
        <f t="shared" si="138"/>
        <v>10.816117330629304</v>
      </c>
    </row>
    <row r="1451" spans="2:8">
      <c r="B1451" s="630" t="s">
        <v>1232</v>
      </c>
      <c r="C1451" s="631"/>
      <c r="D1451" s="631"/>
      <c r="E1451" s="631"/>
      <c r="F1451" s="631"/>
      <c r="G1451" s="632"/>
      <c r="H1451" s="148">
        <f>SUM(H1439:H1450)</f>
        <v>91.157839630218433</v>
      </c>
    </row>
    <row r="1452" spans="2:8">
      <c r="B1452" s="627"/>
      <c r="C1452" s="628"/>
      <c r="D1452" s="628"/>
      <c r="E1452" s="628"/>
      <c r="F1452" s="628"/>
      <c r="G1452" s="628"/>
      <c r="H1452" s="629"/>
    </row>
    <row r="1453" spans="2:8" ht="25.5">
      <c r="B1453" s="139" t="s">
        <v>2145</v>
      </c>
      <c r="C1453" s="140" t="s">
        <v>977</v>
      </c>
      <c r="D1453" s="141" t="s">
        <v>12</v>
      </c>
      <c r="E1453" s="141" t="s">
        <v>15</v>
      </c>
      <c r="F1453" s="142"/>
      <c r="G1453" s="143"/>
      <c r="H1453" s="144"/>
    </row>
    <row r="1454" spans="2:8">
      <c r="B1454" s="145">
        <v>88247</v>
      </c>
      <c r="C1454" s="98" t="s">
        <v>1257</v>
      </c>
      <c r="D1454" s="99" t="s">
        <v>1229</v>
      </c>
      <c r="E1454" s="99" t="s">
        <v>1129</v>
      </c>
      <c r="F1454" s="94" t="s">
        <v>1754</v>
      </c>
      <c r="G1454" s="95">
        <v>19.84</v>
      </c>
      <c r="H1454" s="147">
        <f>F1454*G1454</f>
        <v>4.1663999999999994</v>
      </c>
    </row>
    <row r="1455" spans="2:8">
      <c r="B1455" s="145">
        <v>88264</v>
      </c>
      <c r="C1455" s="98" t="s">
        <v>1258</v>
      </c>
      <c r="D1455" s="99" t="s">
        <v>1229</v>
      </c>
      <c r="E1455" s="99" t="s">
        <v>1129</v>
      </c>
      <c r="F1455" s="94" t="s">
        <v>1754</v>
      </c>
      <c r="G1455" s="95">
        <v>25.32</v>
      </c>
      <c r="H1455" s="147">
        <f t="shared" ref="H1455:H1456" si="139">F1455*G1455</f>
        <v>5.3171999999999997</v>
      </c>
    </row>
    <row r="1456" spans="2:8" ht="25.5">
      <c r="B1456" s="145">
        <v>11914</v>
      </c>
      <c r="C1456" s="98" t="s">
        <v>1755</v>
      </c>
      <c r="D1456" s="99" t="s">
        <v>401</v>
      </c>
      <c r="E1456" s="99" t="s">
        <v>15</v>
      </c>
      <c r="F1456" s="94">
        <v>1.02</v>
      </c>
      <c r="G1456" s="95">
        <v>58.89</v>
      </c>
      <c r="H1456" s="147">
        <f t="shared" si="139"/>
        <v>60.067799999999998</v>
      </c>
    </row>
    <row r="1457" spans="2:8">
      <c r="B1457" s="630" t="s">
        <v>1232</v>
      </c>
      <c r="C1457" s="631"/>
      <c r="D1457" s="631"/>
      <c r="E1457" s="631"/>
      <c r="F1457" s="631"/>
      <c r="G1457" s="632"/>
      <c r="H1457" s="148">
        <f>SUM(H1454:H1456)</f>
        <v>69.551400000000001</v>
      </c>
    </row>
    <row r="1458" spans="2:8">
      <c r="B1458" s="627"/>
      <c r="C1458" s="628"/>
      <c r="D1458" s="628"/>
      <c r="E1458" s="628"/>
      <c r="F1458" s="628"/>
      <c r="G1458" s="628"/>
      <c r="H1458" s="629"/>
    </row>
    <row r="1459" spans="2:8" ht="25.5">
      <c r="B1459" s="139" t="s">
        <v>2146</v>
      </c>
      <c r="C1459" s="140" t="s">
        <v>990</v>
      </c>
      <c r="D1459" s="141" t="s">
        <v>12</v>
      </c>
      <c r="E1459" s="141" t="s">
        <v>37</v>
      </c>
      <c r="F1459" s="142"/>
      <c r="G1459" s="143"/>
      <c r="H1459" s="144"/>
    </row>
    <row r="1460" spans="2:8" ht="25.5">
      <c r="B1460" s="145" t="s">
        <v>1756</v>
      </c>
      <c r="C1460" s="98" t="s">
        <v>990</v>
      </c>
      <c r="D1460" s="99" t="s">
        <v>12</v>
      </c>
      <c r="E1460" s="99" t="s">
        <v>37</v>
      </c>
      <c r="F1460" s="94">
        <v>1</v>
      </c>
      <c r="G1460" s="95">
        <f>717.24*1.2217</f>
        <v>876.25210800000002</v>
      </c>
      <c r="H1460" s="147">
        <f>F1460*G1460</f>
        <v>876.25210800000002</v>
      </c>
    </row>
    <row r="1461" spans="2:8" ht="51">
      <c r="B1461" s="145">
        <v>11253</v>
      </c>
      <c r="C1461" s="98" t="s">
        <v>2147</v>
      </c>
      <c r="D1461" s="99" t="s">
        <v>12</v>
      </c>
      <c r="E1461" s="99" t="s">
        <v>37</v>
      </c>
      <c r="F1461" s="94">
        <v>1</v>
      </c>
      <c r="G1461" s="95">
        <v>352.72</v>
      </c>
      <c r="H1461" s="147">
        <f>F1461*G1461</f>
        <v>352.72</v>
      </c>
    </row>
    <row r="1462" spans="2:8">
      <c r="B1462" s="630" t="s">
        <v>1232</v>
      </c>
      <c r="C1462" s="631"/>
      <c r="D1462" s="631"/>
      <c r="E1462" s="631"/>
      <c r="F1462" s="631"/>
      <c r="G1462" s="632"/>
      <c r="H1462" s="148">
        <f>SUM(H1460:H1461)</f>
        <v>1228.9721079999999</v>
      </c>
    </row>
    <row r="1463" spans="2:8">
      <c r="B1463" s="645"/>
      <c r="C1463" s="646"/>
      <c r="D1463" s="646"/>
      <c r="E1463" s="646"/>
      <c r="F1463" s="646"/>
      <c r="G1463" s="646"/>
      <c r="H1463" s="647"/>
    </row>
    <row r="1464" spans="2:8" ht="25.5">
      <c r="B1464" s="139" t="s">
        <v>2148</v>
      </c>
      <c r="C1464" s="140" t="s">
        <v>1020</v>
      </c>
      <c r="D1464" s="141" t="s">
        <v>12</v>
      </c>
      <c r="E1464" s="141" t="s">
        <v>15</v>
      </c>
      <c r="F1464" s="142"/>
      <c r="G1464" s="143"/>
      <c r="H1464" s="144"/>
    </row>
    <row r="1465" spans="2:8">
      <c r="B1465" s="145" t="s">
        <v>1758</v>
      </c>
      <c r="C1465" s="98" t="s">
        <v>1759</v>
      </c>
      <c r="D1465" s="99" t="s">
        <v>401</v>
      </c>
      <c r="E1465" s="99" t="s">
        <v>15</v>
      </c>
      <c r="F1465" s="94">
        <v>1.05</v>
      </c>
      <c r="G1465" s="95">
        <v>2.67</v>
      </c>
      <c r="H1465" s="147">
        <f>F1465*G1465</f>
        <v>2.8035000000000001</v>
      </c>
    </row>
    <row r="1466" spans="2:8" ht="25.5">
      <c r="B1466" s="145" t="s">
        <v>1625</v>
      </c>
      <c r="C1466" s="98" t="s">
        <v>1626</v>
      </c>
      <c r="D1466" s="99" t="s">
        <v>12</v>
      </c>
      <c r="E1466" s="99" t="s">
        <v>1129</v>
      </c>
      <c r="F1466" s="94" t="s">
        <v>1390</v>
      </c>
      <c r="G1466" s="95">
        <v>19.84</v>
      </c>
      <c r="H1466" s="147">
        <f t="shared" ref="H1466:H1467" si="140">F1466*G1466</f>
        <v>2.3807999999999998</v>
      </c>
    </row>
    <row r="1467" spans="2:8" ht="25.5">
      <c r="B1467" s="145" t="s">
        <v>1627</v>
      </c>
      <c r="C1467" s="98" t="s">
        <v>1628</v>
      </c>
      <c r="D1467" s="99" t="s">
        <v>12</v>
      </c>
      <c r="E1467" s="99" t="s">
        <v>1129</v>
      </c>
      <c r="F1467" s="94" t="s">
        <v>1390</v>
      </c>
      <c r="G1467" s="95">
        <v>25.32</v>
      </c>
      <c r="H1467" s="147">
        <f t="shared" si="140"/>
        <v>3.0383999999999998</v>
      </c>
    </row>
    <row r="1468" spans="2:8">
      <c r="B1468" s="630" t="s">
        <v>1232</v>
      </c>
      <c r="C1468" s="631"/>
      <c r="D1468" s="631"/>
      <c r="E1468" s="631"/>
      <c r="F1468" s="631"/>
      <c r="G1468" s="632"/>
      <c r="H1468" s="148">
        <f>SUM(H1465:H1467)</f>
        <v>8.2226999999999997</v>
      </c>
    </row>
    <row r="1469" spans="2:8">
      <c r="B1469" s="627"/>
      <c r="C1469" s="628"/>
      <c r="D1469" s="628"/>
      <c r="E1469" s="628"/>
      <c r="F1469" s="628"/>
      <c r="G1469" s="628"/>
      <c r="H1469" s="629"/>
    </row>
    <row r="1470" spans="2:8" ht="25.5">
      <c r="B1470" s="139" t="s">
        <v>2149</v>
      </c>
      <c r="C1470" s="140" t="s">
        <v>1022</v>
      </c>
      <c r="D1470" s="141" t="s">
        <v>12</v>
      </c>
      <c r="E1470" s="141" t="s">
        <v>15</v>
      </c>
      <c r="F1470" s="142"/>
      <c r="G1470" s="143"/>
      <c r="H1470" s="144"/>
    </row>
    <row r="1471" spans="2:8" ht="38.25">
      <c r="B1471" s="145" t="s">
        <v>1760</v>
      </c>
      <c r="C1471" s="98" t="s">
        <v>1761</v>
      </c>
      <c r="D1471" s="99" t="s">
        <v>401</v>
      </c>
      <c r="E1471" s="99" t="s">
        <v>15</v>
      </c>
      <c r="F1471" s="94">
        <v>1.05</v>
      </c>
      <c r="G1471" s="95">
        <v>3.23</v>
      </c>
      <c r="H1471" s="147">
        <f>F1471*G1471</f>
        <v>3.3915000000000002</v>
      </c>
    </row>
    <row r="1472" spans="2:8" ht="25.5">
      <c r="B1472" s="145" t="s">
        <v>1625</v>
      </c>
      <c r="C1472" s="98" t="s">
        <v>1626</v>
      </c>
      <c r="D1472" s="99" t="s">
        <v>12</v>
      </c>
      <c r="E1472" s="99" t="s">
        <v>1129</v>
      </c>
      <c r="F1472" s="94" t="s">
        <v>1390</v>
      </c>
      <c r="G1472" s="95">
        <v>19.84</v>
      </c>
      <c r="H1472" s="147">
        <f t="shared" ref="H1472:H1473" si="141">F1472*G1472</f>
        <v>2.3807999999999998</v>
      </c>
    </row>
    <row r="1473" spans="2:8" ht="25.5">
      <c r="B1473" s="145" t="s">
        <v>1627</v>
      </c>
      <c r="C1473" s="98" t="s">
        <v>1628</v>
      </c>
      <c r="D1473" s="99" t="s">
        <v>12</v>
      </c>
      <c r="E1473" s="99" t="s">
        <v>1129</v>
      </c>
      <c r="F1473" s="94" t="s">
        <v>1390</v>
      </c>
      <c r="G1473" s="95">
        <v>25.32</v>
      </c>
      <c r="H1473" s="147">
        <f t="shared" si="141"/>
        <v>3.0383999999999998</v>
      </c>
    </row>
    <row r="1474" spans="2:8">
      <c r="B1474" s="630" t="s">
        <v>1232</v>
      </c>
      <c r="C1474" s="631"/>
      <c r="D1474" s="631"/>
      <c r="E1474" s="631"/>
      <c r="F1474" s="631"/>
      <c r="G1474" s="632"/>
      <c r="H1474" s="148">
        <f>SUM(H1471:H1473)</f>
        <v>8.8106999999999989</v>
      </c>
    </row>
    <row r="1475" spans="2:8">
      <c r="B1475" s="627"/>
      <c r="C1475" s="628"/>
      <c r="D1475" s="628"/>
      <c r="E1475" s="628"/>
      <c r="F1475" s="628"/>
      <c r="G1475" s="628"/>
      <c r="H1475" s="629"/>
    </row>
    <row r="1476" spans="2:8" ht="25.5">
      <c r="B1476" s="139" t="s">
        <v>2150</v>
      </c>
      <c r="C1476" s="140" t="s">
        <v>1026</v>
      </c>
      <c r="D1476" s="141" t="s">
        <v>12</v>
      </c>
      <c r="E1476" s="141" t="s">
        <v>37</v>
      </c>
      <c r="F1476" s="142"/>
      <c r="G1476" s="143"/>
      <c r="H1476" s="144"/>
    </row>
    <row r="1477" spans="2:8">
      <c r="B1477" s="145">
        <v>88247</v>
      </c>
      <c r="C1477" s="98" t="s">
        <v>1257</v>
      </c>
      <c r="D1477" s="99" t="s">
        <v>1229</v>
      </c>
      <c r="E1477" s="99" t="s">
        <v>1129</v>
      </c>
      <c r="F1477" s="94">
        <v>1.1000000000000001</v>
      </c>
      <c r="G1477" s="95">
        <v>19.84</v>
      </c>
      <c r="H1477" s="147">
        <f>F1477*G1477</f>
        <v>21.824000000000002</v>
      </c>
    </row>
    <row r="1478" spans="2:8">
      <c r="B1478" s="145">
        <v>88264</v>
      </c>
      <c r="C1478" s="98" t="s">
        <v>1258</v>
      </c>
      <c r="D1478" s="99" t="s">
        <v>1229</v>
      </c>
      <c r="E1478" s="99" t="s">
        <v>1129</v>
      </c>
      <c r="F1478" s="94">
        <v>1.1000000000000001</v>
      </c>
      <c r="G1478" s="95">
        <v>25.32</v>
      </c>
      <c r="H1478" s="147">
        <f t="shared" ref="H1478:H1479" si="142">F1478*G1478</f>
        <v>27.852000000000004</v>
      </c>
    </row>
    <row r="1479" spans="2:8" ht="28.5" customHeight="1">
      <c r="B1479" s="145" t="s">
        <v>1762</v>
      </c>
      <c r="C1479" s="98" t="s">
        <v>1763</v>
      </c>
      <c r="D1479" s="99" t="s">
        <v>401</v>
      </c>
      <c r="E1479" s="99" t="s">
        <v>37</v>
      </c>
      <c r="F1479" s="94">
        <v>1</v>
      </c>
      <c r="G1479" s="95">
        <f>136.67*1.2217</f>
        <v>166.96973899999998</v>
      </c>
      <c r="H1479" s="147">
        <f t="shared" si="142"/>
        <v>166.96973899999998</v>
      </c>
    </row>
    <row r="1480" spans="2:8">
      <c r="B1480" s="630" t="s">
        <v>1232</v>
      </c>
      <c r="C1480" s="631"/>
      <c r="D1480" s="631"/>
      <c r="E1480" s="631"/>
      <c r="F1480" s="631"/>
      <c r="G1480" s="632"/>
      <c r="H1480" s="148">
        <f>SUM(H1477:H1479)</f>
        <v>216.64573899999999</v>
      </c>
    </row>
    <row r="1481" spans="2:8">
      <c r="B1481" s="639"/>
      <c r="C1481" s="640"/>
      <c r="D1481" s="640"/>
      <c r="E1481" s="640"/>
      <c r="F1481" s="640"/>
      <c r="G1481" s="640"/>
      <c r="H1481" s="641"/>
    </row>
    <row r="1482" spans="2:8" ht="25.5">
      <c r="B1482" s="139" t="s">
        <v>2151</v>
      </c>
      <c r="C1482" s="140" t="s">
        <v>1037</v>
      </c>
      <c r="D1482" s="141" t="s">
        <v>12</v>
      </c>
      <c r="E1482" s="141" t="s">
        <v>37</v>
      </c>
      <c r="F1482" s="142"/>
      <c r="G1482" s="143"/>
      <c r="H1482" s="144"/>
    </row>
    <row r="1483" spans="2:8" ht="25.5">
      <c r="B1483" s="145" t="s">
        <v>1764</v>
      </c>
      <c r="C1483" s="98" t="s">
        <v>2152</v>
      </c>
      <c r="D1483" s="99" t="s">
        <v>401</v>
      </c>
      <c r="E1483" s="99" t="s">
        <v>1603</v>
      </c>
      <c r="F1483" s="94">
        <v>6</v>
      </c>
      <c r="G1483" s="95">
        <v>41.72</v>
      </c>
      <c r="H1483" s="147">
        <f>F1483*G1483</f>
        <v>250.32</v>
      </c>
    </row>
    <row r="1484" spans="2:8" ht="25.5">
      <c r="B1484" s="145" t="s">
        <v>1765</v>
      </c>
      <c r="C1484" s="98" t="s">
        <v>1766</v>
      </c>
      <c r="D1484" s="99" t="s">
        <v>401</v>
      </c>
      <c r="E1484" s="99" t="s">
        <v>1603</v>
      </c>
      <c r="F1484" s="94">
        <v>1</v>
      </c>
      <c r="G1484" s="95">
        <v>583.04</v>
      </c>
      <c r="H1484" s="147">
        <f t="shared" ref="H1484:H1492" si="143">F1484*G1484</f>
        <v>583.04</v>
      </c>
    </row>
    <row r="1485" spans="2:8">
      <c r="B1485" s="145" t="s">
        <v>1767</v>
      </c>
      <c r="C1485" s="98" t="s">
        <v>1768</v>
      </c>
      <c r="D1485" s="99" t="s">
        <v>401</v>
      </c>
      <c r="E1485" s="99" t="s">
        <v>1603</v>
      </c>
      <c r="F1485" s="94">
        <v>1</v>
      </c>
      <c r="G1485" s="95">
        <v>216.28</v>
      </c>
      <c r="H1485" s="147">
        <f t="shared" si="143"/>
        <v>216.28</v>
      </c>
    </row>
    <row r="1486" spans="2:8">
      <c r="B1486" s="145" t="s">
        <v>1769</v>
      </c>
      <c r="C1486" s="98" t="s">
        <v>1770</v>
      </c>
      <c r="D1486" s="99" t="s">
        <v>401</v>
      </c>
      <c r="E1486" s="99" t="s">
        <v>1603</v>
      </c>
      <c r="F1486" s="94">
        <v>1</v>
      </c>
      <c r="G1486" s="95">
        <f>28.34*1.2217</f>
        <v>34.622978000000003</v>
      </c>
      <c r="H1486" s="147">
        <f t="shared" si="143"/>
        <v>34.622978000000003</v>
      </c>
    </row>
    <row r="1487" spans="2:8" ht="27.75" customHeight="1">
      <c r="B1487" s="145">
        <v>11756</v>
      </c>
      <c r="C1487" s="98" t="s">
        <v>1771</v>
      </c>
      <c r="D1487" s="99" t="s">
        <v>401</v>
      </c>
      <c r="E1487" s="99" t="s">
        <v>37</v>
      </c>
      <c r="F1487" s="94">
        <v>1</v>
      </c>
      <c r="G1487" s="95">
        <v>38.74</v>
      </c>
      <c r="H1487" s="147">
        <f t="shared" si="143"/>
        <v>38.74</v>
      </c>
    </row>
    <row r="1488" spans="2:8">
      <c r="B1488" s="145" t="s">
        <v>1772</v>
      </c>
      <c r="C1488" s="161" t="s">
        <v>1773</v>
      </c>
      <c r="D1488" s="99" t="s">
        <v>401</v>
      </c>
      <c r="E1488" s="99" t="s">
        <v>37</v>
      </c>
      <c r="F1488" s="94">
        <v>6</v>
      </c>
      <c r="G1488" s="164">
        <f>728*1.2217</f>
        <v>889.39760000000001</v>
      </c>
      <c r="H1488" s="147">
        <f t="shared" si="143"/>
        <v>5336.3855999999996</v>
      </c>
    </row>
    <row r="1489" spans="2:8" ht="16.5" customHeight="1">
      <c r="B1489" s="145" t="s">
        <v>1774</v>
      </c>
      <c r="C1489" s="98" t="s">
        <v>1775</v>
      </c>
      <c r="D1489" s="99" t="s">
        <v>401</v>
      </c>
      <c r="E1489" s="99" t="s">
        <v>1603</v>
      </c>
      <c r="F1489" s="94">
        <v>1</v>
      </c>
      <c r="G1489" s="95">
        <v>30.2</v>
      </c>
      <c r="H1489" s="147">
        <f t="shared" si="143"/>
        <v>30.2</v>
      </c>
    </row>
    <row r="1490" spans="2:8" ht="25.5">
      <c r="B1490" s="145" t="s">
        <v>1776</v>
      </c>
      <c r="C1490" s="98" t="s">
        <v>1777</v>
      </c>
      <c r="D1490" s="99" t="s">
        <v>401</v>
      </c>
      <c r="E1490" s="99" t="s">
        <v>37</v>
      </c>
      <c r="F1490" s="94">
        <v>2</v>
      </c>
      <c r="G1490" s="95">
        <f>22.38*1.2217</f>
        <v>27.341645999999997</v>
      </c>
      <c r="H1490" s="147">
        <f t="shared" si="143"/>
        <v>54.683291999999994</v>
      </c>
    </row>
    <row r="1491" spans="2:8" ht="38.25">
      <c r="B1491" s="145" t="s">
        <v>1377</v>
      </c>
      <c r="C1491" s="98" t="s">
        <v>1378</v>
      </c>
      <c r="D1491" s="99" t="s">
        <v>12</v>
      </c>
      <c r="E1491" s="99" t="s">
        <v>1129</v>
      </c>
      <c r="F1491" s="94">
        <v>16</v>
      </c>
      <c r="G1491" s="95">
        <v>19.170000000000002</v>
      </c>
      <c r="H1491" s="147">
        <f t="shared" si="143"/>
        <v>306.72000000000003</v>
      </c>
    </row>
    <row r="1492" spans="2:8" ht="40.5" customHeight="1">
      <c r="B1492" s="145" t="s">
        <v>1379</v>
      </c>
      <c r="C1492" s="98" t="s">
        <v>1380</v>
      </c>
      <c r="D1492" s="99" t="s">
        <v>12</v>
      </c>
      <c r="E1492" s="99" t="s">
        <v>1129</v>
      </c>
      <c r="F1492" s="94">
        <v>16</v>
      </c>
      <c r="G1492" s="95">
        <v>24.46</v>
      </c>
      <c r="H1492" s="147">
        <f t="shared" si="143"/>
        <v>391.36</v>
      </c>
    </row>
    <row r="1493" spans="2:8">
      <c r="B1493" s="630" t="s">
        <v>1232</v>
      </c>
      <c r="C1493" s="631"/>
      <c r="D1493" s="631"/>
      <c r="E1493" s="631"/>
      <c r="F1493" s="631"/>
      <c r="G1493" s="632"/>
      <c r="H1493" s="148">
        <f>SUM(H1483:H1492)</f>
        <v>7242.3518699999995</v>
      </c>
    </row>
    <row r="1494" spans="2:8">
      <c r="B1494" s="627"/>
      <c r="C1494" s="628"/>
      <c r="D1494" s="628"/>
      <c r="E1494" s="628"/>
      <c r="F1494" s="628"/>
      <c r="G1494" s="628"/>
      <c r="H1494" s="629"/>
    </row>
    <row r="1495" spans="2:8" ht="25.5">
      <c r="B1495" s="139" t="s">
        <v>2153</v>
      </c>
      <c r="C1495" s="140" t="s">
        <v>1038</v>
      </c>
      <c r="D1495" s="141" t="s">
        <v>12</v>
      </c>
      <c r="E1495" s="141" t="s">
        <v>15</v>
      </c>
      <c r="F1495" s="142"/>
      <c r="G1495" s="143"/>
      <c r="H1495" s="144"/>
    </row>
    <row r="1496" spans="2:8" ht="25.5">
      <c r="B1496" s="145" t="s">
        <v>1493</v>
      </c>
      <c r="C1496" s="98" t="s">
        <v>1494</v>
      </c>
      <c r="D1496" s="99" t="s">
        <v>12</v>
      </c>
      <c r="E1496" s="99" t="s">
        <v>1129</v>
      </c>
      <c r="F1496" s="94" t="s">
        <v>1364</v>
      </c>
      <c r="G1496" s="95">
        <v>18.61</v>
      </c>
      <c r="H1496" s="147">
        <f>F1496*G1496</f>
        <v>3.722</v>
      </c>
    </row>
    <row r="1497" spans="2:8" ht="25.5">
      <c r="B1497" s="145" t="s">
        <v>1338</v>
      </c>
      <c r="C1497" s="98" t="s">
        <v>1339</v>
      </c>
      <c r="D1497" s="99" t="s">
        <v>12</v>
      </c>
      <c r="E1497" s="99" t="s">
        <v>1129</v>
      </c>
      <c r="F1497" s="94" t="s">
        <v>1279</v>
      </c>
      <c r="G1497" s="95">
        <v>25.07</v>
      </c>
      <c r="H1497" s="147">
        <f t="shared" ref="H1497:H1499" si="144">F1497*G1497</f>
        <v>2.5070000000000001</v>
      </c>
    </row>
    <row r="1498" spans="2:8" ht="63.75">
      <c r="B1498" s="145" t="s">
        <v>1778</v>
      </c>
      <c r="C1498" s="98" t="s">
        <v>1779</v>
      </c>
      <c r="D1498" s="99" t="s">
        <v>12</v>
      </c>
      <c r="E1498" s="99" t="s">
        <v>15</v>
      </c>
      <c r="F1498" s="94">
        <v>1</v>
      </c>
      <c r="G1498" s="95">
        <v>81.97</v>
      </c>
      <c r="H1498" s="147">
        <f t="shared" si="144"/>
        <v>81.97</v>
      </c>
    </row>
    <row r="1499" spans="2:8" ht="51">
      <c r="B1499" s="145" t="s">
        <v>1288</v>
      </c>
      <c r="C1499" s="98" t="s">
        <v>1289</v>
      </c>
      <c r="D1499" s="99" t="s">
        <v>12</v>
      </c>
      <c r="E1499" s="99" t="s">
        <v>75</v>
      </c>
      <c r="F1499" s="94" t="s">
        <v>1332</v>
      </c>
      <c r="G1499" s="95">
        <v>398.61</v>
      </c>
      <c r="H1499" s="147">
        <f t="shared" si="144"/>
        <v>7.9722000000000008</v>
      </c>
    </row>
    <row r="1500" spans="2:8">
      <c r="B1500" s="630" t="s">
        <v>1232</v>
      </c>
      <c r="C1500" s="631"/>
      <c r="D1500" s="631"/>
      <c r="E1500" s="631"/>
      <c r="F1500" s="631"/>
      <c r="G1500" s="632"/>
      <c r="H1500" s="148">
        <f>SUM(H1496:H1499)</f>
        <v>96.171199999999999</v>
      </c>
    </row>
    <row r="1501" spans="2:8">
      <c r="B1501" s="202"/>
      <c r="C1501" s="203"/>
      <c r="D1501" s="203"/>
      <c r="E1501" s="203"/>
      <c r="F1501" s="203"/>
      <c r="G1501" s="203"/>
      <c r="H1501" s="169"/>
    </row>
    <row r="1502" spans="2:8" ht="25.5">
      <c r="B1502" s="139" t="s">
        <v>2154</v>
      </c>
      <c r="C1502" s="140" t="s">
        <v>1884</v>
      </c>
      <c r="D1502" s="141" t="s">
        <v>12</v>
      </c>
      <c r="E1502" s="141" t="s">
        <v>37</v>
      </c>
      <c r="F1502" s="142"/>
      <c r="G1502" s="143"/>
      <c r="H1502" s="144"/>
    </row>
    <row r="1503" spans="2:8" ht="25.5">
      <c r="B1503" s="145" t="s">
        <v>1493</v>
      </c>
      <c r="C1503" s="98" t="s">
        <v>1885</v>
      </c>
      <c r="D1503" s="99" t="s">
        <v>12</v>
      </c>
      <c r="E1503" s="99" t="s">
        <v>1129</v>
      </c>
      <c r="F1503" s="94">
        <v>0.68799999999999994</v>
      </c>
      <c r="G1503" s="95">
        <v>18.61</v>
      </c>
      <c r="H1503" s="147">
        <f>F1503*G1503</f>
        <v>12.803679999999998</v>
      </c>
    </row>
    <row r="1504" spans="2:8" ht="25.5">
      <c r="B1504" s="145" t="s">
        <v>1379</v>
      </c>
      <c r="C1504" s="98" t="s">
        <v>1886</v>
      </c>
      <c r="D1504" s="99" t="s">
        <v>12</v>
      </c>
      <c r="E1504" s="99" t="s">
        <v>1129</v>
      </c>
      <c r="F1504" s="94">
        <v>0.68799999999999994</v>
      </c>
      <c r="G1504" s="95">
        <v>24.46</v>
      </c>
      <c r="H1504" s="147">
        <f t="shared" ref="H1504:H1508" si="145">F1504*G1504</f>
        <v>16.828479999999999</v>
      </c>
    </row>
    <row r="1505" spans="2:8" ht="25.5">
      <c r="B1505" s="210">
        <v>38868</v>
      </c>
      <c r="C1505" s="98" t="s">
        <v>1887</v>
      </c>
      <c r="D1505" s="99" t="s">
        <v>1812</v>
      </c>
      <c r="E1505" s="99" t="s">
        <v>37</v>
      </c>
      <c r="F1505" s="94">
        <v>1</v>
      </c>
      <c r="G1505" s="95">
        <v>28.47</v>
      </c>
      <c r="H1505" s="147">
        <f t="shared" si="145"/>
        <v>28.47</v>
      </c>
    </row>
    <row r="1506" spans="2:8" ht="25.5">
      <c r="B1506" s="210">
        <v>1400100136</v>
      </c>
      <c r="C1506" s="98" t="s">
        <v>1888</v>
      </c>
      <c r="D1506" s="99" t="s">
        <v>1812</v>
      </c>
      <c r="E1506" s="99" t="s">
        <v>37</v>
      </c>
      <c r="F1506" s="94">
        <v>1</v>
      </c>
      <c r="G1506" s="95">
        <f>20.15*1.2217</f>
        <v>24.617255</v>
      </c>
      <c r="H1506" s="147">
        <f t="shared" si="145"/>
        <v>24.617255</v>
      </c>
    </row>
    <row r="1507" spans="2:8">
      <c r="B1507" s="210">
        <v>38946</v>
      </c>
      <c r="C1507" s="98" t="s">
        <v>1889</v>
      </c>
      <c r="D1507" s="99" t="s">
        <v>1812</v>
      </c>
      <c r="E1507" s="99" t="s">
        <v>37</v>
      </c>
      <c r="F1507" s="94">
        <v>1</v>
      </c>
      <c r="G1507" s="95">
        <v>30</v>
      </c>
      <c r="H1507" s="147">
        <f t="shared" si="145"/>
        <v>30</v>
      </c>
    </row>
    <row r="1508" spans="2:8" ht="25.5">
      <c r="B1508" s="210">
        <v>1400100138</v>
      </c>
      <c r="C1508" s="98" t="s">
        <v>1890</v>
      </c>
      <c r="D1508" s="99" t="s">
        <v>1812</v>
      </c>
      <c r="E1508" s="99" t="s">
        <v>37</v>
      </c>
      <c r="F1508" s="94">
        <v>1</v>
      </c>
      <c r="G1508" s="95">
        <f>193.46*1.2217</f>
        <v>236.35008200000001</v>
      </c>
      <c r="H1508" s="147">
        <f t="shared" si="145"/>
        <v>236.35008200000001</v>
      </c>
    </row>
    <row r="1509" spans="2:8">
      <c r="B1509" s="630" t="s">
        <v>1232</v>
      </c>
      <c r="C1509" s="631"/>
      <c r="D1509" s="631"/>
      <c r="E1509" s="631"/>
      <c r="F1509" s="631"/>
      <c r="G1509" s="632"/>
      <c r="H1509" s="148">
        <f>SUM(H1503:H1508)</f>
        <v>349.06949700000001</v>
      </c>
    </row>
    <row r="1510" spans="2:8">
      <c r="B1510" s="627"/>
      <c r="C1510" s="628"/>
      <c r="D1510" s="628"/>
      <c r="E1510" s="628"/>
      <c r="F1510" s="628"/>
      <c r="G1510" s="628"/>
      <c r="H1510" s="629"/>
    </row>
    <row r="1511" spans="2:8" ht="38.25">
      <c r="B1511" s="139" t="s">
        <v>2155</v>
      </c>
      <c r="C1511" s="140" t="s">
        <v>1045</v>
      </c>
      <c r="D1511" s="141" t="s">
        <v>12</v>
      </c>
      <c r="E1511" s="141" t="s">
        <v>15</v>
      </c>
      <c r="F1511" s="142"/>
      <c r="G1511" s="143"/>
      <c r="H1511" s="144"/>
    </row>
    <row r="1512" spans="2:8">
      <c r="B1512" s="145">
        <v>88248</v>
      </c>
      <c r="C1512" s="98" t="s">
        <v>1243</v>
      </c>
      <c r="D1512" s="99" t="s">
        <v>1229</v>
      </c>
      <c r="E1512" s="99" t="s">
        <v>1129</v>
      </c>
      <c r="F1512" s="94">
        <v>2.2000000000000002</v>
      </c>
      <c r="G1512" s="95">
        <v>19.170000000000002</v>
      </c>
      <c r="H1512" s="147">
        <f>F1512*G1512</f>
        <v>42.174000000000007</v>
      </c>
    </row>
    <row r="1513" spans="2:8">
      <c r="B1513" s="145">
        <v>88267</v>
      </c>
      <c r="C1513" s="98" t="s">
        <v>1245</v>
      </c>
      <c r="D1513" s="99" t="s">
        <v>1229</v>
      </c>
      <c r="E1513" s="99" t="s">
        <v>1129</v>
      </c>
      <c r="F1513" s="94">
        <v>2.2000000000000002</v>
      </c>
      <c r="G1513" s="95">
        <v>24.46</v>
      </c>
      <c r="H1513" s="147">
        <f t="shared" ref="H1513:H1515" si="146">F1513*G1513</f>
        <v>53.812000000000005</v>
      </c>
    </row>
    <row r="1514" spans="2:8" ht="25.5">
      <c r="B1514" s="145">
        <v>7693</v>
      </c>
      <c r="C1514" s="98" t="s">
        <v>1780</v>
      </c>
      <c r="D1514" s="99" t="s">
        <v>401</v>
      </c>
      <c r="E1514" s="99" t="s">
        <v>15</v>
      </c>
      <c r="F1514" s="94">
        <v>1.3</v>
      </c>
      <c r="G1514" s="95">
        <v>224.36</v>
      </c>
      <c r="H1514" s="147">
        <f t="shared" si="146"/>
        <v>291.66800000000001</v>
      </c>
    </row>
    <row r="1515" spans="2:8" ht="25.5">
      <c r="B1515" s="204">
        <v>3148</v>
      </c>
      <c r="C1515" s="205" t="s">
        <v>1255</v>
      </c>
      <c r="D1515" s="206" t="s">
        <v>401</v>
      </c>
      <c r="E1515" s="206" t="s">
        <v>37</v>
      </c>
      <c r="F1515" s="207">
        <v>4.5897079E-2</v>
      </c>
      <c r="G1515" s="208">
        <v>13.68</v>
      </c>
      <c r="H1515" s="147">
        <f t="shared" si="146"/>
        <v>0.62787204072000002</v>
      </c>
    </row>
    <row r="1516" spans="2:8">
      <c r="B1516" s="639" t="s">
        <v>1232</v>
      </c>
      <c r="C1516" s="640"/>
      <c r="D1516" s="640"/>
      <c r="E1516" s="640"/>
      <c r="F1516" s="640"/>
      <c r="G1516" s="641"/>
      <c r="H1516" s="100">
        <f>SUM(H1512:H1515)</f>
        <v>388.28187204071997</v>
      </c>
    </row>
    <row r="1517" spans="2:8">
      <c r="B1517" s="621"/>
      <c r="C1517" s="622"/>
      <c r="D1517" s="622"/>
      <c r="E1517" s="622"/>
      <c r="F1517" s="622"/>
      <c r="G1517" s="622"/>
      <c r="H1517" s="623"/>
    </row>
    <row r="1518" spans="2:8" ht="38.25">
      <c r="B1518" s="139" t="s">
        <v>2156</v>
      </c>
      <c r="C1518" s="140" t="s">
        <v>1046</v>
      </c>
      <c r="D1518" s="141" t="s">
        <v>12</v>
      </c>
      <c r="E1518" s="141" t="s">
        <v>15</v>
      </c>
      <c r="F1518" s="142"/>
      <c r="G1518" s="143"/>
      <c r="H1518" s="144"/>
    </row>
    <row r="1519" spans="2:8">
      <c r="B1519" s="145">
        <v>88248</v>
      </c>
      <c r="C1519" s="98" t="s">
        <v>1243</v>
      </c>
      <c r="D1519" s="99" t="s">
        <v>1229</v>
      </c>
      <c r="E1519" s="99" t="s">
        <v>1129</v>
      </c>
      <c r="F1519" s="94">
        <v>2.65</v>
      </c>
      <c r="G1519" s="95">
        <v>19.170000000000002</v>
      </c>
      <c r="H1519" s="147">
        <f>F1519*G1519</f>
        <v>50.8005</v>
      </c>
    </row>
    <row r="1520" spans="2:8">
      <c r="B1520" s="145">
        <v>88267</v>
      </c>
      <c r="C1520" s="98" t="s">
        <v>1245</v>
      </c>
      <c r="D1520" s="99" t="s">
        <v>1229</v>
      </c>
      <c r="E1520" s="99" t="s">
        <v>1129</v>
      </c>
      <c r="F1520" s="94">
        <v>2.65</v>
      </c>
      <c r="G1520" s="95">
        <v>24.46</v>
      </c>
      <c r="H1520" s="147">
        <f t="shared" ref="H1520:H1522" si="147">F1520*G1520</f>
        <v>64.819000000000003</v>
      </c>
    </row>
    <row r="1521" spans="2:8" ht="25.5">
      <c r="B1521" s="145">
        <v>7695</v>
      </c>
      <c r="C1521" s="98" t="s">
        <v>1781</v>
      </c>
      <c r="D1521" s="99" t="s">
        <v>401</v>
      </c>
      <c r="E1521" s="99" t="s">
        <v>15</v>
      </c>
      <c r="F1521" s="94">
        <v>1.3</v>
      </c>
      <c r="G1521" s="95">
        <v>364.3</v>
      </c>
      <c r="H1521" s="147">
        <f t="shared" si="147"/>
        <v>473.59000000000003</v>
      </c>
    </row>
    <row r="1522" spans="2:8" ht="25.5">
      <c r="B1522" s="145">
        <v>3148</v>
      </c>
      <c r="C1522" s="98" t="s">
        <v>1255</v>
      </c>
      <c r="D1522" s="99" t="s">
        <v>401</v>
      </c>
      <c r="E1522" s="99" t="s">
        <v>37</v>
      </c>
      <c r="F1522" s="94">
        <v>6.3282335999999995E-2</v>
      </c>
      <c r="G1522" s="95">
        <v>13.68</v>
      </c>
      <c r="H1522" s="147">
        <f t="shared" si="147"/>
        <v>0.86570235647999993</v>
      </c>
    </row>
    <row r="1523" spans="2:8">
      <c r="B1523" s="630" t="s">
        <v>1232</v>
      </c>
      <c r="C1523" s="631"/>
      <c r="D1523" s="631"/>
      <c r="E1523" s="631"/>
      <c r="F1523" s="631"/>
      <c r="G1523" s="632"/>
      <c r="H1523" s="148">
        <f>SUM(H1519:H1522)</f>
        <v>590.07520235648008</v>
      </c>
    </row>
    <row r="1524" spans="2:8">
      <c r="B1524" s="627"/>
      <c r="C1524" s="628"/>
      <c r="D1524" s="628"/>
      <c r="E1524" s="628"/>
      <c r="F1524" s="628"/>
      <c r="G1524" s="628"/>
      <c r="H1524" s="629"/>
    </row>
    <row r="1525" spans="2:8" ht="25.5">
      <c r="B1525" s="139" t="s">
        <v>2157</v>
      </c>
      <c r="C1525" s="140" t="s">
        <v>1047</v>
      </c>
      <c r="D1525" s="141" t="s">
        <v>12</v>
      </c>
      <c r="E1525" s="141" t="s">
        <v>37</v>
      </c>
      <c r="F1525" s="142"/>
      <c r="G1525" s="143"/>
      <c r="H1525" s="144"/>
    </row>
    <row r="1526" spans="2:8">
      <c r="B1526" s="145">
        <v>88248</v>
      </c>
      <c r="C1526" s="98" t="s">
        <v>1243</v>
      </c>
      <c r="D1526" s="99" t="s">
        <v>1229</v>
      </c>
      <c r="E1526" s="99" t="s">
        <v>1129</v>
      </c>
      <c r="F1526" s="94">
        <v>1.1499999999999999</v>
      </c>
      <c r="G1526" s="95">
        <v>19.170000000000002</v>
      </c>
      <c r="H1526" s="147">
        <f>F1526*G1526</f>
        <v>22.045500000000001</v>
      </c>
    </row>
    <row r="1527" spans="2:8">
      <c r="B1527" s="145">
        <v>88267</v>
      </c>
      <c r="C1527" s="98" t="s">
        <v>1245</v>
      </c>
      <c r="D1527" s="99" t="s">
        <v>1229</v>
      </c>
      <c r="E1527" s="99" t="s">
        <v>1129</v>
      </c>
      <c r="F1527" s="94">
        <v>1.1499999999999999</v>
      </c>
      <c r="G1527" s="95">
        <v>24.46</v>
      </c>
      <c r="H1527" s="147">
        <f t="shared" ref="H1527:H1528" si="148">F1527*G1527</f>
        <v>28.128999999999998</v>
      </c>
    </row>
    <row r="1528" spans="2:8" ht="25.5">
      <c r="B1528" s="145" t="s">
        <v>1782</v>
      </c>
      <c r="C1528" s="98" t="s">
        <v>1783</v>
      </c>
      <c r="D1528" s="99" t="s">
        <v>401</v>
      </c>
      <c r="E1528" s="99" t="s">
        <v>37</v>
      </c>
      <c r="F1528" s="94">
        <v>1.0149999999999999</v>
      </c>
      <c r="G1528" s="95">
        <f>205.34*1.2217</f>
        <v>250.863878</v>
      </c>
      <c r="H1528" s="147">
        <f t="shared" si="148"/>
        <v>254.62683616999996</v>
      </c>
    </row>
    <row r="1529" spans="2:8">
      <c r="B1529" s="630" t="s">
        <v>1232</v>
      </c>
      <c r="C1529" s="631"/>
      <c r="D1529" s="631"/>
      <c r="E1529" s="631"/>
      <c r="F1529" s="631"/>
      <c r="G1529" s="632"/>
      <c r="H1529" s="148">
        <f>SUM(H1526:H1528)</f>
        <v>304.80133616999996</v>
      </c>
    </row>
    <row r="1530" spans="2:8">
      <c r="B1530" s="627"/>
      <c r="C1530" s="628"/>
      <c r="D1530" s="628"/>
      <c r="E1530" s="628"/>
      <c r="F1530" s="628"/>
      <c r="G1530" s="628"/>
      <c r="H1530" s="629"/>
    </row>
    <row r="1531" spans="2:8" ht="25.5">
      <c r="B1531" s="139" t="s">
        <v>2158</v>
      </c>
      <c r="C1531" s="140" t="s">
        <v>1049</v>
      </c>
      <c r="D1531" s="141" t="s">
        <v>12</v>
      </c>
      <c r="E1531" s="141" t="s">
        <v>37</v>
      </c>
      <c r="F1531" s="142"/>
      <c r="G1531" s="143"/>
      <c r="H1531" s="144"/>
    </row>
    <row r="1532" spans="2:8">
      <c r="B1532" s="145">
        <v>88248</v>
      </c>
      <c r="C1532" s="98" t="s">
        <v>1243</v>
      </c>
      <c r="D1532" s="99" t="s">
        <v>1229</v>
      </c>
      <c r="E1532" s="99" t="s">
        <v>1129</v>
      </c>
      <c r="F1532" s="94">
        <v>1.47</v>
      </c>
      <c r="G1532" s="95">
        <v>19.170000000000002</v>
      </c>
      <c r="H1532" s="147">
        <f>F1532*G1532</f>
        <v>28.179900000000004</v>
      </c>
    </row>
    <row r="1533" spans="2:8">
      <c r="B1533" s="145">
        <v>88267</v>
      </c>
      <c r="C1533" s="98" t="s">
        <v>1245</v>
      </c>
      <c r="D1533" s="99" t="s">
        <v>1229</v>
      </c>
      <c r="E1533" s="99" t="s">
        <v>1129</v>
      </c>
      <c r="F1533" s="94">
        <v>1.47</v>
      </c>
      <c r="G1533" s="95">
        <v>24.46</v>
      </c>
      <c r="H1533" s="147">
        <f t="shared" ref="H1533:H1534" si="149">F1533*G1533</f>
        <v>35.956200000000003</v>
      </c>
    </row>
    <row r="1534" spans="2:8" ht="25.5">
      <c r="B1534" s="145" t="s">
        <v>1784</v>
      </c>
      <c r="C1534" s="98" t="s">
        <v>1785</v>
      </c>
      <c r="D1534" s="99" t="s">
        <v>401</v>
      </c>
      <c r="E1534" s="99" t="s">
        <v>37</v>
      </c>
      <c r="F1534" s="94">
        <v>1.0149999999999999</v>
      </c>
      <c r="G1534" s="95">
        <f>364.37*1.2217</f>
        <v>445.15082899999999</v>
      </c>
      <c r="H1534" s="147">
        <f t="shared" si="149"/>
        <v>451.82809143499992</v>
      </c>
    </row>
    <row r="1535" spans="2:8">
      <c r="B1535" s="630" t="s">
        <v>1232</v>
      </c>
      <c r="C1535" s="631"/>
      <c r="D1535" s="631"/>
      <c r="E1535" s="631"/>
      <c r="F1535" s="631"/>
      <c r="G1535" s="632"/>
      <c r="H1535" s="148">
        <f>SUM(H1532:H1534)</f>
        <v>515.96419143499998</v>
      </c>
    </row>
    <row r="1536" spans="2:8">
      <c r="B1536" s="627"/>
      <c r="C1536" s="628"/>
      <c r="D1536" s="628"/>
      <c r="E1536" s="628"/>
      <c r="F1536" s="628"/>
      <c r="G1536" s="628"/>
      <c r="H1536" s="629"/>
    </row>
    <row r="1537" spans="2:8" ht="25.5">
      <c r="B1537" s="139" t="s">
        <v>2209</v>
      </c>
      <c r="C1537" s="140" t="s">
        <v>2159</v>
      </c>
      <c r="D1537" s="211" t="s">
        <v>12</v>
      </c>
      <c r="E1537" s="211" t="s">
        <v>37</v>
      </c>
      <c r="F1537" s="142"/>
      <c r="G1537" s="143"/>
      <c r="H1537" s="144"/>
    </row>
    <row r="1538" spans="2:8" ht="25.5">
      <c r="B1538" s="145">
        <v>3461</v>
      </c>
      <c r="C1538" s="98" t="s">
        <v>1786</v>
      </c>
      <c r="D1538" s="99" t="s">
        <v>401</v>
      </c>
      <c r="E1538" s="99" t="s">
        <v>37</v>
      </c>
      <c r="F1538" s="94">
        <v>1</v>
      </c>
      <c r="G1538" s="95">
        <v>815.28</v>
      </c>
      <c r="H1538" s="147">
        <f>F1538*G1538</f>
        <v>815.28</v>
      </c>
    </row>
    <row r="1539" spans="2:8" ht="25.5">
      <c r="B1539" s="145">
        <v>3148</v>
      </c>
      <c r="C1539" s="98" t="s">
        <v>2160</v>
      </c>
      <c r="D1539" s="99" t="s">
        <v>401</v>
      </c>
      <c r="E1539" s="99" t="s">
        <v>37</v>
      </c>
      <c r="F1539" s="94">
        <v>4.5199999999999997E-2</v>
      </c>
      <c r="G1539" s="95">
        <v>13.68</v>
      </c>
      <c r="H1539" s="147">
        <f t="shared" ref="H1539:H1542" si="150">F1539*G1539</f>
        <v>0.618336</v>
      </c>
    </row>
    <row r="1540" spans="2:8">
      <c r="B1540" s="145">
        <v>7307</v>
      </c>
      <c r="C1540" s="98" t="s">
        <v>2161</v>
      </c>
      <c r="D1540" s="99" t="s">
        <v>401</v>
      </c>
      <c r="E1540" s="99" t="s">
        <v>1294</v>
      </c>
      <c r="F1540" s="94">
        <v>1.0500000000000001E-2</v>
      </c>
      <c r="G1540" s="95">
        <v>38.17</v>
      </c>
      <c r="H1540" s="147">
        <f t="shared" si="150"/>
        <v>0.40078500000000006</v>
      </c>
    </row>
    <row r="1541" spans="2:8" ht="25.5">
      <c r="B1541" s="145" t="s">
        <v>1379</v>
      </c>
      <c r="C1541" s="98" t="s">
        <v>1380</v>
      </c>
      <c r="D1541" s="99" t="s">
        <v>12</v>
      </c>
      <c r="E1541" s="99" t="s">
        <v>1129</v>
      </c>
      <c r="F1541" s="94">
        <v>1.4318</v>
      </c>
      <c r="G1541" s="95">
        <v>24.46</v>
      </c>
      <c r="H1541" s="147">
        <f t="shared" si="150"/>
        <v>35.021827999999999</v>
      </c>
    </row>
    <row r="1542" spans="2:8" ht="38.25">
      <c r="B1542" s="145" t="s">
        <v>1377</v>
      </c>
      <c r="C1542" s="98" t="s">
        <v>1378</v>
      </c>
      <c r="D1542" s="99" t="s">
        <v>12</v>
      </c>
      <c r="E1542" s="99" t="s">
        <v>1129</v>
      </c>
      <c r="F1542" s="94">
        <v>1.4318</v>
      </c>
      <c r="G1542" s="95">
        <v>19.170000000000002</v>
      </c>
      <c r="H1542" s="147">
        <f t="shared" si="150"/>
        <v>27.447606</v>
      </c>
    </row>
    <row r="1543" spans="2:8">
      <c r="B1543" s="630" t="s">
        <v>1232</v>
      </c>
      <c r="C1543" s="631"/>
      <c r="D1543" s="631"/>
      <c r="E1543" s="631"/>
      <c r="F1543" s="631"/>
      <c r="G1543" s="632"/>
      <c r="H1543" s="148">
        <f>SUM(H1538:H1542)</f>
        <v>878.76855499999999</v>
      </c>
    </row>
    <row r="1544" spans="2:8">
      <c r="B1544" s="627"/>
      <c r="C1544" s="628"/>
      <c r="D1544" s="628"/>
      <c r="E1544" s="628"/>
      <c r="F1544" s="628"/>
      <c r="G1544" s="628"/>
      <c r="H1544" s="629"/>
    </row>
    <row r="1545" spans="2:8" ht="25.5">
      <c r="B1545" s="139" t="s">
        <v>2162</v>
      </c>
      <c r="C1545" s="140" t="s">
        <v>1083</v>
      </c>
      <c r="D1545" s="141" t="s">
        <v>12</v>
      </c>
      <c r="E1545" s="141" t="s">
        <v>37</v>
      </c>
      <c r="F1545" s="142"/>
      <c r="G1545" s="143"/>
      <c r="H1545" s="144"/>
    </row>
    <row r="1546" spans="2:8">
      <c r="B1546" s="145">
        <v>88248</v>
      </c>
      <c r="C1546" s="98" t="s">
        <v>1243</v>
      </c>
      <c r="D1546" s="99" t="s">
        <v>1229</v>
      </c>
      <c r="E1546" s="99" t="s">
        <v>1129</v>
      </c>
      <c r="F1546" s="94">
        <v>1.48</v>
      </c>
      <c r="G1546" s="95">
        <v>19.170000000000002</v>
      </c>
      <c r="H1546" s="147">
        <f>F1546*G1546</f>
        <v>28.371600000000001</v>
      </c>
    </row>
    <row r="1547" spans="2:8">
      <c r="B1547" s="145">
        <v>88267</v>
      </c>
      <c r="C1547" s="98" t="s">
        <v>1245</v>
      </c>
      <c r="D1547" s="99" t="s">
        <v>1229</v>
      </c>
      <c r="E1547" s="99" t="s">
        <v>1129</v>
      </c>
      <c r="F1547" s="94">
        <v>1.48</v>
      </c>
      <c r="G1547" s="95">
        <v>24.46</v>
      </c>
      <c r="H1547" s="147">
        <f t="shared" ref="H1547:H1549" si="151">F1547*G1547</f>
        <v>36.200800000000001</v>
      </c>
    </row>
    <row r="1548" spans="2:8" ht="25.5">
      <c r="B1548" s="145">
        <v>3148</v>
      </c>
      <c r="C1548" s="98" t="s">
        <v>1255</v>
      </c>
      <c r="D1548" s="99" t="s">
        <v>401</v>
      </c>
      <c r="E1548" s="99" t="s">
        <v>15</v>
      </c>
      <c r="F1548" s="94">
        <v>7.6495131999999993E-2</v>
      </c>
      <c r="G1548" s="95">
        <v>13.68</v>
      </c>
      <c r="H1548" s="147">
        <f t="shared" si="151"/>
        <v>1.0464534057599999</v>
      </c>
    </row>
    <row r="1549" spans="2:8" ht="25.5">
      <c r="B1549" s="145" t="s">
        <v>1787</v>
      </c>
      <c r="C1549" s="98" t="s">
        <v>1788</v>
      </c>
      <c r="D1549" s="99" t="s">
        <v>401</v>
      </c>
      <c r="E1549" s="99" t="s">
        <v>37</v>
      </c>
      <c r="F1549" s="94">
        <v>1</v>
      </c>
      <c r="G1549" s="95">
        <f>883.46*1.2217</f>
        <v>1079.3230820000001</v>
      </c>
      <c r="H1549" s="147">
        <f t="shared" si="151"/>
        <v>1079.3230820000001</v>
      </c>
    </row>
    <row r="1550" spans="2:8">
      <c r="B1550" s="630" t="s">
        <v>1232</v>
      </c>
      <c r="C1550" s="631"/>
      <c r="D1550" s="631"/>
      <c r="E1550" s="631"/>
      <c r="F1550" s="631"/>
      <c r="G1550" s="632"/>
      <c r="H1550" s="148">
        <f>SUM(H1546:H1549)</f>
        <v>1144.9419354057602</v>
      </c>
    </row>
    <row r="1551" spans="2:8">
      <c r="B1551" s="681"/>
      <c r="C1551" s="682"/>
      <c r="D1551" s="682"/>
      <c r="E1551" s="682"/>
      <c r="F1551" s="682"/>
      <c r="G1551" s="682"/>
      <c r="H1551" s="683"/>
    </row>
    <row r="1552" spans="2:8" ht="25.5">
      <c r="B1552" s="139" t="s">
        <v>2163</v>
      </c>
      <c r="C1552" s="140" t="s">
        <v>1096</v>
      </c>
      <c r="D1552" s="141" t="s">
        <v>12</v>
      </c>
      <c r="E1552" s="141" t="s">
        <v>37</v>
      </c>
      <c r="F1552" s="142"/>
      <c r="G1552" s="143"/>
      <c r="H1552" s="144"/>
    </row>
    <row r="1553" spans="2:8" ht="25.5">
      <c r="B1553" s="145" t="s">
        <v>1789</v>
      </c>
      <c r="C1553" s="98" t="s">
        <v>1790</v>
      </c>
      <c r="D1553" s="99" t="s">
        <v>401</v>
      </c>
      <c r="E1553" s="99" t="s">
        <v>37</v>
      </c>
      <c r="F1553" s="94">
        <v>1</v>
      </c>
      <c r="G1553" s="95">
        <f>12535*1.2217</f>
        <v>15314.0095</v>
      </c>
      <c r="H1553" s="147">
        <f>F1553*G1553</f>
        <v>15314.0095</v>
      </c>
    </row>
    <row r="1554" spans="2:8" ht="63.75">
      <c r="B1554" s="145">
        <v>13354</v>
      </c>
      <c r="C1554" s="98" t="s">
        <v>1791</v>
      </c>
      <c r="D1554" s="99" t="s">
        <v>401</v>
      </c>
      <c r="E1554" s="99" t="s">
        <v>37</v>
      </c>
      <c r="F1554" s="94">
        <v>1</v>
      </c>
      <c r="G1554" s="95">
        <v>276.97000000000003</v>
      </c>
      <c r="H1554" s="147">
        <f t="shared" ref="H1554:H1565" si="152">F1554*G1554</f>
        <v>276.97000000000003</v>
      </c>
    </row>
    <row r="1555" spans="2:8" ht="38.25">
      <c r="B1555" s="145">
        <v>1879</v>
      </c>
      <c r="C1555" s="98" t="s">
        <v>1792</v>
      </c>
      <c r="D1555" s="99" t="s">
        <v>401</v>
      </c>
      <c r="E1555" s="99" t="s">
        <v>37</v>
      </c>
      <c r="F1555" s="94">
        <v>4</v>
      </c>
      <c r="G1555" s="95">
        <v>3.37</v>
      </c>
      <c r="H1555" s="147">
        <f t="shared" si="152"/>
        <v>13.48</v>
      </c>
    </row>
    <row r="1556" spans="2:8" ht="38.25">
      <c r="B1556" s="145">
        <v>21127</v>
      </c>
      <c r="C1556" s="98" t="s">
        <v>1650</v>
      </c>
      <c r="D1556" s="99" t="s">
        <v>401</v>
      </c>
      <c r="E1556" s="99" t="s">
        <v>37</v>
      </c>
      <c r="F1556" s="94" t="s">
        <v>1343</v>
      </c>
      <c r="G1556" s="95">
        <v>3.57</v>
      </c>
      <c r="H1556" s="147">
        <f t="shared" si="152"/>
        <v>2.1419999999999999</v>
      </c>
    </row>
    <row r="1557" spans="2:8" ht="51">
      <c r="B1557" s="145">
        <v>21128</v>
      </c>
      <c r="C1557" s="98" t="s">
        <v>1757</v>
      </c>
      <c r="D1557" s="99" t="s">
        <v>401</v>
      </c>
      <c r="E1557" s="99" t="s">
        <v>15</v>
      </c>
      <c r="F1557" s="94">
        <v>30</v>
      </c>
      <c r="G1557" s="95">
        <v>13.26</v>
      </c>
      <c r="H1557" s="147">
        <f t="shared" si="152"/>
        <v>397.8</v>
      </c>
    </row>
    <row r="1558" spans="2:8" ht="25.5">
      <c r="B1558" s="145">
        <v>39175</v>
      </c>
      <c r="C1558" s="98" t="s">
        <v>1793</v>
      </c>
      <c r="D1558" s="99" t="s">
        <v>401</v>
      </c>
      <c r="E1558" s="99" t="s">
        <v>37</v>
      </c>
      <c r="F1558" s="94">
        <v>2</v>
      </c>
      <c r="G1558" s="95">
        <v>1.1120000000000001</v>
      </c>
      <c r="H1558" s="147">
        <f t="shared" si="152"/>
        <v>2.2240000000000002</v>
      </c>
    </row>
    <row r="1559" spans="2:8" ht="25.5">
      <c r="B1559" s="145">
        <v>39209</v>
      </c>
      <c r="C1559" s="98" t="s">
        <v>1794</v>
      </c>
      <c r="D1559" s="99" t="s">
        <v>401</v>
      </c>
      <c r="E1559" s="99" t="s">
        <v>37</v>
      </c>
      <c r="F1559" s="94">
        <v>2</v>
      </c>
      <c r="G1559" s="95">
        <v>0.57999999999999996</v>
      </c>
      <c r="H1559" s="147">
        <f t="shared" si="152"/>
        <v>1.1599999999999999</v>
      </c>
    </row>
    <row r="1560" spans="2:8" ht="25.5">
      <c r="B1560" s="145">
        <v>7588</v>
      </c>
      <c r="C1560" s="98" t="s">
        <v>1624</v>
      </c>
      <c r="D1560" s="99" t="s">
        <v>401</v>
      </c>
      <c r="E1560" s="99" t="s">
        <v>37</v>
      </c>
      <c r="F1560" s="94">
        <v>2</v>
      </c>
      <c r="G1560" s="95">
        <v>44.45</v>
      </c>
      <c r="H1560" s="147">
        <f t="shared" si="152"/>
        <v>88.9</v>
      </c>
    </row>
    <row r="1561" spans="2:8" ht="25.5">
      <c r="B1561" s="145" t="s">
        <v>1356</v>
      </c>
      <c r="C1561" s="98" t="s">
        <v>1357</v>
      </c>
      <c r="D1561" s="99" t="s">
        <v>12</v>
      </c>
      <c r="E1561" s="99" t="s">
        <v>1129</v>
      </c>
      <c r="F1561" s="94">
        <v>16.399999999999999</v>
      </c>
      <c r="G1561" s="95">
        <v>22.06</v>
      </c>
      <c r="H1561" s="147">
        <f t="shared" si="152"/>
        <v>361.78399999999993</v>
      </c>
    </row>
    <row r="1562" spans="2:8" ht="25.5">
      <c r="B1562" s="145" t="s">
        <v>1625</v>
      </c>
      <c r="C1562" s="98" t="s">
        <v>1626</v>
      </c>
      <c r="D1562" s="99" t="s">
        <v>12</v>
      </c>
      <c r="E1562" s="99" t="s">
        <v>1129</v>
      </c>
      <c r="F1562" s="94">
        <v>14.2</v>
      </c>
      <c r="G1562" s="95">
        <v>19.84</v>
      </c>
      <c r="H1562" s="147">
        <f t="shared" si="152"/>
        <v>281.72800000000001</v>
      </c>
    </row>
    <row r="1563" spans="2:8" ht="25.5">
      <c r="B1563" s="145" t="s">
        <v>1627</v>
      </c>
      <c r="C1563" s="98" t="s">
        <v>1628</v>
      </c>
      <c r="D1563" s="99" t="s">
        <v>12</v>
      </c>
      <c r="E1563" s="99" t="s">
        <v>1129</v>
      </c>
      <c r="F1563" s="94">
        <v>14.2</v>
      </c>
      <c r="G1563" s="95">
        <v>25.32</v>
      </c>
      <c r="H1563" s="147">
        <f t="shared" si="152"/>
        <v>359.54399999999998</v>
      </c>
    </row>
    <row r="1564" spans="2:8" ht="25.5">
      <c r="B1564" s="145" t="s">
        <v>1622</v>
      </c>
      <c r="C1564" s="98" t="s">
        <v>1623</v>
      </c>
      <c r="D1564" s="99" t="s">
        <v>12</v>
      </c>
      <c r="E1564" s="99" t="s">
        <v>1129</v>
      </c>
      <c r="F1564" s="94">
        <v>12.2</v>
      </c>
      <c r="G1564" s="95">
        <v>26.2</v>
      </c>
      <c r="H1564" s="147">
        <f t="shared" si="152"/>
        <v>319.64</v>
      </c>
    </row>
    <row r="1565" spans="2:8" ht="38.25">
      <c r="B1565" s="145">
        <v>944</v>
      </c>
      <c r="C1565" s="98" t="s">
        <v>1795</v>
      </c>
      <c r="D1565" s="99" t="s">
        <v>401</v>
      </c>
      <c r="E1565" s="99" t="s">
        <v>15</v>
      </c>
      <c r="F1565" s="94">
        <v>36</v>
      </c>
      <c r="G1565" s="95">
        <v>4.3600000000000003</v>
      </c>
      <c r="H1565" s="147">
        <f t="shared" si="152"/>
        <v>156.96</v>
      </c>
    </row>
    <row r="1566" spans="2:8">
      <c r="B1566" s="630" t="s">
        <v>1232</v>
      </c>
      <c r="C1566" s="631"/>
      <c r="D1566" s="631"/>
      <c r="E1566" s="631"/>
      <c r="F1566" s="631"/>
      <c r="G1566" s="632"/>
      <c r="H1566" s="148">
        <f>SUM(H1553:H1565)</f>
        <v>17576.341499999999</v>
      </c>
    </row>
    <row r="1567" spans="2:8">
      <c r="B1567" s="627"/>
      <c r="C1567" s="628"/>
      <c r="D1567" s="628"/>
      <c r="E1567" s="628"/>
      <c r="F1567" s="628"/>
      <c r="G1567" s="628"/>
      <c r="H1567" s="629"/>
    </row>
    <row r="1568" spans="2:8" ht="25.5">
      <c r="B1568" s="139" t="s">
        <v>2164</v>
      </c>
      <c r="C1568" s="140" t="s">
        <v>1097</v>
      </c>
      <c r="D1568" s="141" t="s">
        <v>12</v>
      </c>
      <c r="E1568" s="141" t="s">
        <v>37</v>
      </c>
      <c r="F1568" s="142"/>
      <c r="G1568" s="143"/>
      <c r="H1568" s="144"/>
    </row>
    <row r="1569" spans="2:8" ht="25.5">
      <c r="B1569" s="145" t="s">
        <v>1796</v>
      </c>
      <c r="C1569" s="98" t="s">
        <v>1797</v>
      </c>
      <c r="D1569" s="99" t="s">
        <v>401</v>
      </c>
      <c r="E1569" s="99" t="s">
        <v>37</v>
      </c>
      <c r="F1569" s="94">
        <v>1</v>
      </c>
      <c r="G1569" s="95">
        <f>14360*1.2217</f>
        <v>17543.612000000001</v>
      </c>
      <c r="H1569" s="147">
        <f>F1569*G1569</f>
        <v>17543.612000000001</v>
      </c>
    </row>
    <row r="1570" spans="2:8" ht="63.75">
      <c r="B1570" s="145">
        <v>13354</v>
      </c>
      <c r="C1570" s="98" t="s">
        <v>1791</v>
      </c>
      <c r="D1570" s="99" t="s">
        <v>401</v>
      </c>
      <c r="E1570" s="99" t="s">
        <v>37</v>
      </c>
      <c r="F1570" s="94">
        <v>1</v>
      </c>
      <c r="G1570" s="95">
        <v>276.97000000000003</v>
      </c>
      <c r="H1570" s="147">
        <f t="shared" ref="H1570:H1581" si="153">F1570*G1570</f>
        <v>276.97000000000003</v>
      </c>
    </row>
    <row r="1571" spans="2:8" ht="38.25">
      <c r="B1571" s="145">
        <v>1879</v>
      </c>
      <c r="C1571" s="98" t="s">
        <v>1792</v>
      </c>
      <c r="D1571" s="99" t="s">
        <v>401</v>
      </c>
      <c r="E1571" s="99" t="s">
        <v>37</v>
      </c>
      <c r="F1571" s="94">
        <v>4</v>
      </c>
      <c r="G1571" s="95">
        <v>3.37</v>
      </c>
      <c r="H1571" s="147">
        <f t="shared" si="153"/>
        <v>13.48</v>
      </c>
    </row>
    <row r="1572" spans="2:8" ht="38.25">
      <c r="B1572" s="145">
        <v>21127</v>
      </c>
      <c r="C1572" s="98" t="s">
        <v>1650</v>
      </c>
      <c r="D1572" s="99" t="s">
        <v>401</v>
      </c>
      <c r="E1572" s="99" t="s">
        <v>37</v>
      </c>
      <c r="F1572" s="94" t="s">
        <v>1343</v>
      </c>
      <c r="G1572" s="95">
        <v>3.57</v>
      </c>
      <c r="H1572" s="147">
        <f t="shared" si="153"/>
        <v>2.1419999999999999</v>
      </c>
    </row>
    <row r="1573" spans="2:8" ht="51">
      <c r="B1573" s="145">
        <v>21128</v>
      </c>
      <c r="C1573" s="98" t="s">
        <v>1757</v>
      </c>
      <c r="D1573" s="99" t="s">
        <v>401</v>
      </c>
      <c r="E1573" s="99" t="s">
        <v>15</v>
      </c>
      <c r="F1573" s="94">
        <v>30</v>
      </c>
      <c r="G1573" s="95">
        <v>13.26</v>
      </c>
      <c r="H1573" s="147">
        <f t="shared" si="153"/>
        <v>397.8</v>
      </c>
    </row>
    <row r="1574" spans="2:8" ht="25.5">
      <c r="B1574" s="145">
        <v>39175</v>
      </c>
      <c r="C1574" s="98" t="s">
        <v>1793</v>
      </c>
      <c r="D1574" s="99" t="s">
        <v>401</v>
      </c>
      <c r="E1574" s="99" t="s">
        <v>37</v>
      </c>
      <c r="F1574" s="94">
        <v>2</v>
      </c>
      <c r="G1574" s="95">
        <v>1.1200000000000001</v>
      </c>
      <c r="H1574" s="147">
        <f t="shared" si="153"/>
        <v>2.2400000000000002</v>
      </c>
    </row>
    <row r="1575" spans="2:8" ht="25.5">
      <c r="B1575" s="145">
        <v>39209</v>
      </c>
      <c r="C1575" s="98" t="s">
        <v>1794</v>
      </c>
      <c r="D1575" s="99" t="s">
        <v>401</v>
      </c>
      <c r="E1575" s="99" t="s">
        <v>37</v>
      </c>
      <c r="F1575" s="94">
        <v>2</v>
      </c>
      <c r="G1575" s="95">
        <v>0.57999999999999996</v>
      </c>
      <c r="H1575" s="147">
        <f t="shared" si="153"/>
        <v>1.1599999999999999</v>
      </c>
    </row>
    <row r="1576" spans="2:8" ht="25.5">
      <c r="B1576" s="145">
        <v>7588</v>
      </c>
      <c r="C1576" s="98" t="s">
        <v>1624</v>
      </c>
      <c r="D1576" s="99" t="s">
        <v>401</v>
      </c>
      <c r="E1576" s="99" t="s">
        <v>37</v>
      </c>
      <c r="F1576" s="94">
        <v>2</v>
      </c>
      <c r="G1576" s="95">
        <v>44.45</v>
      </c>
      <c r="H1576" s="147">
        <f t="shared" si="153"/>
        <v>88.9</v>
      </c>
    </row>
    <row r="1577" spans="2:8" ht="25.5">
      <c r="B1577" s="145" t="s">
        <v>1356</v>
      </c>
      <c r="C1577" s="98" t="s">
        <v>1357</v>
      </c>
      <c r="D1577" s="99" t="s">
        <v>12</v>
      </c>
      <c r="E1577" s="99" t="s">
        <v>1129</v>
      </c>
      <c r="F1577" s="94">
        <v>16.399999999999999</v>
      </c>
      <c r="G1577" s="95">
        <v>22.06</v>
      </c>
      <c r="H1577" s="147">
        <f t="shared" si="153"/>
        <v>361.78399999999993</v>
      </c>
    </row>
    <row r="1578" spans="2:8" ht="25.5">
      <c r="B1578" s="145" t="s">
        <v>1625</v>
      </c>
      <c r="C1578" s="98" t="s">
        <v>1626</v>
      </c>
      <c r="D1578" s="99" t="s">
        <v>12</v>
      </c>
      <c r="E1578" s="99" t="s">
        <v>1129</v>
      </c>
      <c r="F1578" s="94">
        <v>14.2</v>
      </c>
      <c r="G1578" s="95">
        <v>19.84</v>
      </c>
      <c r="H1578" s="147">
        <f t="shared" si="153"/>
        <v>281.72800000000001</v>
      </c>
    </row>
    <row r="1579" spans="2:8" ht="25.5">
      <c r="B1579" s="145" t="s">
        <v>1627</v>
      </c>
      <c r="C1579" s="98" t="s">
        <v>1628</v>
      </c>
      <c r="D1579" s="99" t="s">
        <v>12</v>
      </c>
      <c r="E1579" s="99" t="s">
        <v>1129</v>
      </c>
      <c r="F1579" s="94">
        <v>14.2</v>
      </c>
      <c r="G1579" s="95">
        <v>25.32</v>
      </c>
      <c r="H1579" s="147">
        <f t="shared" si="153"/>
        <v>359.54399999999998</v>
      </c>
    </row>
    <row r="1580" spans="2:8" ht="25.5">
      <c r="B1580" s="145" t="s">
        <v>1622</v>
      </c>
      <c r="C1580" s="98" t="s">
        <v>1623</v>
      </c>
      <c r="D1580" s="99" t="s">
        <v>12</v>
      </c>
      <c r="E1580" s="99" t="s">
        <v>1129</v>
      </c>
      <c r="F1580" s="94">
        <v>12.2</v>
      </c>
      <c r="G1580" s="95">
        <v>26.2</v>
      </c>
      <c r="H1580" s="147">
        <f t="shared" si="153"/>
        <v>319.64</v>
      </c>
    </row>
    <row r="1581" spans="2:8" ht="38.25">
      <c r="B1581" s="145">
        <v>944</v>
      </c>
      <c r="C1581" s="98" t="s">
        <v>1795</v>
      </c>
      <c r="D1581" s="99" t="s">
        <v>401</v>
      </c>
      <c r="E1581" s="99" t="s">
        <v>15</v>
      </c>
      <c r="F1581" s="94">
        <v>36</v>
      </c>
      <c r="G1581" s="95">
        <v>4.3600000000000003</v>
      </c>
      <c r="H1581" s="147">
        <f t="shared" si="153"/>
        <v>156.96</v>
      </c>
    </row>
    <row r="1582" spans="2:8">
      <c r="B1582" s="630" t="s">
        <v>1232</v>
      </c>
      <c r="C1582" s="631"/>
      <c r="D1582" s="631"/>
      <c r="E1582" s="631"/>
      <c r="F1582" s="631"/>
      <c r="G1582" s="632"/>
      <c r="H1582" s="148">
        <f>SUM(H1569:H1581)</f>
        <v>19805.960000000003</v>
      </c>
    </row>
    <row r="1583" spans="2:8">
      <c r="B1583" s="627"/>
      <c r="C1583" s="628"/>
      <c r="D1583" s="628"/>
      <c r="E1583" s="628"/>
      <c r="F1583" s="628"/>
      <c r="G1583" s="628"/>
      <c r="H1583" s="629"/>
    </row>
    <row r="1584" spans="2:8" ht="25.5">
      <c r="B1584" s="139" t="s">
        <v>2165</v>
      </c>
      <c r="C1584" s="140" t="s">
        <v>1098</v>
      </c>
      <c r="D1584" s="141" t="s">
        <v>12</v>
      </c>
      <c r="E1584" s="141" t="s">
        <v>37</v>
      </c>
      <c r="F1584" s="142"/>
      <c r="G1584" s="143"/>
      <c r="H1584" s="144"/>
    </row>
    <row r="1585" spans="2:8" ht="63.75">
      <c r="B1585" s="145">
        <v>13354</v>
      </c>
      <c r="C1585" s="98" t="s">
        <v>1791</v>
      </c>
      <c r="D1585" s="99" t="s">
        <v>401</v>
      </c>
      <c r="E1585" s="99" t="s">
        <v>37</v>
      </c>
      <c r="F1585" s="94">
        <v>1</v>
      </c>
      <c r="G1585" s="95">
        <v>276.97000000000003</v>
      </c>
      <c r="H1585" s="147">
        <f>F1585*G1585</f>
        <v>276.97000000000003</v>
      </c>
    </row>
    <row r="1586" spans="2:8" ht="38.25">
      <c r="B1586" s="145">
        <v>1879</v>
      </c>
      <c r="C1586" s="98" t="s">
        <v>1792</v>
      </c>
      <c r="D1586" s="99" t="s">
        <v>401</v>
      </c>
      <c r="E1586" s="99" t="s">
        <v>37</v>
      </c>
      <c r="F1586" s="94">
        <v>4</v>
      </c>
      <c r="G1586" s="95">
        <v>3.37</v>
      </c>
      <c r="H1586" s="147">
        <f t="shared" ref="H1586:H1597" si="154">F1586*G1586</f>
        <v>13.48</v>
      </c>
    </row>
    <row r="1587" spans="2:8" ht="38.25">
      <c r="B1587" s="145">
        <v>21127</v>
      </c>
      <c r="C1587" s="98" t="s">
        <v>1650</v>
      </c>
      <c r="D1587" s="99" t="s">
        <v>401</v>
      </c>
      <c r="E1587" s="99" t="s">
        <v>37</v>
      </c>
      <c r="F1587" s="94" t="s">
        <v>1343</v>
      </c>
      <c r="G1587" s="95">
        <v>3.57</v>
      </c>
      <c r="H1587" s="147">
        <f t="shared" si="154"/>
        <v>2.1419999999999999</v>
      </c>
    </row>
    <row r="1588" spans="2:8" ht="51">
      <c r="B1588" s="145">
        <v>21128</v>
      </c>
      <c r="C1588" s="98" t="s">
        <v>1757</v>
      </c>
      <c r="D1588" s="99" t="s">
        <v>401</v>
      </c>
      <c r="E1588" s="99" t="s">
        <v>15</v>
      </c>
      <c r="F1588" s="94">
        <v>30</v>
      </c>
      <c r="G1588" s="95">
        <v>13.26</v>
      </c>
      <c r="H1588" s="147">
        <f t="shared" si="154"/>
        <v>397.8</v>
      </c>
    </row>
    <row r="1589" spans="2:8" ht="25.5">
      <c r="B1589" s="145">
        <v>39175</v>
      </c>
      <c r="C1589" s="98" t="s">
        <v>1793</v>
      </c>
      <c r="D1589" s="99" t="s">
        <v>401</v>
      </c>
      <c r="E1589" s="99" t="s">
        <v>37</v>
      </c>
      <c r="F1589" s="94">
        <v>2</v>
      </c>
      <c r="G1589" s="95">
        <v>1.1200000000000001</v>
      </c>
      <c r="H1589" s="147">
        <f t="shared" si="154"/>
        <v>2.2400000000000002</v>
      </c>
    </row>
    <row r="1590" spans="2:8" ht="25.5">
      <c r="B1590" s="145">
        <v>39209</v>
      </c>
      <c r="C1590" s="98" t="s">
        <v>1794</v>
      </c>
      <c r="D1590" s="99" t="s">
        <v>401</v>
      </c>
      <c r="E1590" s="99" t="s">
        <v>37</v>
      </c>
      <c r="F1590" s="94">
        <v>2</v>
      </c>
      <c r="G1590" s="95">
        <v>0.57999999999999996</v>
      </c>
      <c r="H1590" s="147">
        <f t="shared" si="154"/>
        <v>1.1599999999999999</v>
      </c>
    </row>
    <row r="1591" spans="2:8" ht="63.75">
      <c r="B1591" s="145">
        <v>736</v>
      </c>
      <c r="C1591" s="98" t="s">
        <v>1798</v>
      </c>
      <c r="D1591" s="99" t="s">
        <v>401</v>
      </c>
      <c r="E1591" s="99" t="s">
        <v>37</v>
      </c>
      <c r="F1591" s="94">
        <v>1</v>
      </c>
      <c r="G1591" s="95">
        <v>2159.4499999999998</v>
      </c>
      <c r="H1591" s="147">
        <f t="shared" si="154"/>
        <v>2159.4499999999998</v>
      </c>
    </row>
    <row r="1592" spans="2:8" ht="25.5">
      <c r="B1592" s="145">
        <v>7588</v>
      </c>
      <c r="C1592" s="98" t="s">
        <v>1624</v>
      </c>
      <c r="D1592" s="99" t="s">
        <v>401</v>
      </c>
      <c r="E1592" s="99" t="s">
        <v>37</v>
      </c>
      <c r="F1592" s="94">
        <v>2</v>
      </c>
      <c r="G1592" s="95">
        <v>44.45</v>
      </c>
      <c r="H1592" s="147">
        <f t="shared" si="154"/>
        <v>88.9</v>
      </c>
    </row>
    <row r="1593" spans="2:8" ht="25.5">
      <c r="B1593" s="145" t="s">
        <v>1356</v>
      </c>
      <c r="C1593" s="98" t="s">
        <v>1357</v>
      </c>
      <c r="D1593" s="99" t="s">
        <v>12</v>
      </c>
      <c r="E1593" s="99" t="s">
        <v>1129</v>
      </c>
      <c r="F1593" s="94">
        <v>1.5</v>
      </c>
      <c r="G1593" s="95">
        <v>22.06</v>
      </c>
      <c r="H1593" s="147">
        <f t="shared" si="154"/>
        <v>33.089999999999996</v>
      </c>
    </row>
    <row r="1594" spans="2:8" ht="25.5">
      <c r="B1594" s="145" t="s">
        <v>1625</v>
      </c>
      <c r="C1594" s="98" t="s">
        <v>1626</v>
      </c>
      <c r="D1594" s="99" t="s">
        <v>12</v>
      </c>
      <c r="E1594" s="99" t="s">
        <v>1129</v>
      </c>
      <c r="F1594" s="94">
        <v>2</v>
      </c>
      <c r="G1594" s="95">
        <v>19.84</v>
      </c>
      <c r="H1594" s="147">
        <f t="shared" si="154"/>
        <v>39.68</v>
      </c>
    </row>
    <row r="1595" spans="2:8" ht="25.5">
      <c r="B1595" s="145" t="s">
        <v>1627</v>
      </c>
      <c r="C1595" s="98" t="s">
        <v>1628</v>
      </c>
      <c r="D1595" s="99" t="s">
        <v>12</v>
      </c>
      <c r="E1595" s="99" t="s">
        <v>1129</v>
      </c>
      <c r="F1595" s="94">
        <v>2</v>
      </c>
      <c r="G1595" s="95">
        <v>25.32</v>
      </c>
      <c r="H1595" s="147">
        <f t="shared" si="154"/>
        <v>50.64</v>
      </c>
    </row>
    <row r="1596" spans="2:8" ht="25.5">
      <c r="B1596" s="145" t="s">
        <v>1622</v>
      </c>
      <c r="C1596" s="98" t="s">
        <v>1623</v>
      </c>
      <c r="D1596" s="99" t="s">
        <v>12</v>
      </c>
      <c r="E1596" s="99" t="s">
        <v>1129</v>
      </c>
      <c r="F1596" s="94">
        <v>1.2</v>
      </c>
      <c r="G1596" s="95">
        <v>26.2</v>
      </c>
      <c r="H1596" s="147">
        <f t="shared" si="154"/>
        <v>31.439999999999998</v>
      </c>
    </row>
    <row r="1597" spans="2:8" ht="38.25">
      <c r="B1597" s="145">
        <v>944</v>
      </c>
      <c r="C1597" s="98" t="s">
        <v>1795</v>
      </c>
      <c r="D1597" s="99" t="s">
        <v>401</v>
      </c>
      <c r="E1597" s="99" t="s">
        <v>15</v>
      </c>
      <c r="F1597" s="94">
        <v>36</v>
      </c>
      <c r="G1597" s="95">
        <v>4.3600000000000003</v>
      </c>
      <c r="H1597" s="147">
        <f t="shared" si="154"/>
        <v>156.96</v>
      </c>
    </row>
    <row r="1598" spans="2:8">
      <c r="B1598" s="630" t="s">
        <v>1232</v>
      </c>
      <c r="C1598" s="631"/>
      <c r="D1598" s="631"/>
      <c r="E1598" s="631"/>
      <c r="F1598" s="631"/>
      <c r="G1598" s="632"/>
      <c r="H1598" s="148">
        <f>SUM(H1585:H1597)</f>
        <v>3253.9519999999998</v>
      </c>
    </row>
    <row r="1599" spans="2:8">
      <c r="B1599" s="627"/>
      <c r="C1599" s="628"/>
      <c r="D1599" s="628"/>
      <c r="E1599" s="628"/>
      <c r="F1599" s="628"/>
      <c r="G1599" s="628"/>
      <c r="H1599" s="629"/>
    </row>
    <row r="1600" spans="2:8" ht="25.5">
      <c r="B1600" s="139" t="s">
        <v>2166</v>
      </c>
      <c r="C1600" s="140" t="s">
        <v>1101</v>
      </c>
      <c r="D1600" s="141" t="s">
        <v>12</v>
      </c>
      <c r="E1600" s="141" t="s">
        <v>37</v>
      </c>
      <c r="F1600" s="142"/>
      <c r="G1600" s="143"/>
      <c r="H1600" s="144"/>
    </row>
    <row r="1601" spans="2:8">
      <c r="B1601" s="145">
        <v>88248</v>
      </c>
      <c r="C1601" s="98" t="s">
        <v>1243</v>
      </c>
      <c r="D1601" s="99" t="s">
        <v>1229</v>
      </c>
      <c r="E1601" s="99" t="s">
        <v>1129</v>
      </c>
      <c r="F1601" s="94">
        <v>8</v>
      </c>
      <c r="G1601" s="95">
        <v>19.170000000000002</v>
      </c>
      <c r="H1601" s="147">
        <f>F1601*G1601</f>
        <v>153.36000000000001</v>
      </c>
    </row>
    <row r="1602" spans="2:8">
      <c r="B1602" s="145">
        <v>88267</v>
      </c>
      <c r="C1602" s="98" t="s">
        <v>1245</v>
      </c>
      <c r="D1602" s="99" t="s">
        <v>1229</v>
      </c>
      <c r="E1602" s="99" t="s">
        <v>1129</v>
      </c>
      <c r="F1602" s="94">
        <v>8</v>
      </c>
      <c r="G1602" s="95">
        <v>24.46</v>
      </c>
      <c r="H1602" s="147">
        <f t="shared" ref="H1602:H1603" si="155">F1602*G1602</f>
        <v>195.68</v>
      </c>
    </row>
    <row r="1603" spans="2:8" ht="38.25">
      <c r="B1603" s="145" t="s">
        <v>1799</v>
      </c>
      <c r="C1603" s="98" t="s">
        <v>1800</v>
      </c>
      <c r="D1603" s="99" t="s">
        <v>1801</v>
      </c>
      <c r="E1603" s="99" t="s">
        <v>37</v>
      </c>
      <c r="F1603" s="94">
        <v>1</v>
      </c>
      <c r="G1603" s="95">
        <f>2484.13*1.2217</f>
        <v>3034.861621</v>
      </c>
      <c r="H1603" s="147">
        <f t="shared" si="155"/>
        <v>3034.861621</v>
      </c>
    </row>
    <row r="1604" spans="2:8">
      <c r="B1604" s="630" t="s">
        <v>1232</v>
      </c>
      <c r="C1604" s="631"/>
      <c r="D1604" s="631"/>
      <c r="E1604" s="631"/>
      <c r="F1604" s="631"/>
      <c r="G1604" s="632"/>
      <c r="H1604" s="148">
        <f>SUM(H1601:H1603)</f>
        <v>3383.901621</v>
      </c>
    </row>
    <row r="1605" spans="2:8">
      <c r="B1605" s="627"/>
      <c r="C1605" s="628"/>
      <c r="D1605" s="628"/>
      <c r="E1605" s="628"/>
      <c r="F1605" s="628"/>
      <c r="G1605" s="628"/>
      <c r="H1605" s="629"/>
    </row>
    <row r="1606" spans="2:8" ht="25.5">
      <c r="B1606" s="139" t="s">
        <v>2167</v>
      </c>
      <c r="C1606" s="140" t="s">
        <v>1111</v>
      </c>
      <c r="D1606" s="141" t="s">
        <v>12</v>
      </c>
      <c r="E1606" s="141" t="s">
        <v>1112</v>
      </c>
      <c r="F1606" s="142"/>
      <c r="G1606" s="143"/>
      <c r="H1606" s="144"/>
    </row>
    <row r="1607" spans="2:8" ht="25.5">
      <c r="B1607" s="145">
        <v>2705</v>
      </c>
      <c r="C1607" s="98" t="s">
        <v>1802</v>
      </c>
      <c r="D1607" s="99" t="s">
        <v>401</v>
      </c>
      <c r="E1607" s="99" t="s">
        <v>1803</v>
      </c>
      <c r="F1607" s="114">
        <v>3800</v>
      </c>
      <c r="G1607" s="95">
        <v>0.82</v>
      </c>
      <c r="H1607" s="147">
        <f>F1607*G1607</f>
        <v>3116</v>
      </c>
    </row>
    <row r="1608" spans="2:8">
      <c r="B1608" s="630" t="s">
        <v>1232</v>
      </c>
      <c r="C1608" s="631"/>
      <c r="D1608" s="631"/>
      <c r="E1608" s="631"/>
      <c r="F1608" s="631"/>
      <c r="G1608" s="632"/>
      <c r="H1608" s="148">
        <f>SUM(H1607)</f>
        <v>3116</v>
      </c>
    </row>
    <row r="1609" spans="2:8">
      <c r="B1609" s="627"/>
      <c r="C1609" s="628"/>
      <c r="D1609" s="628"/>
      <c r="E1609" s="628"/>
      <c r="F1609" s="628"/>
      <c r="G1609" s="628"/>
      <c r="H1609" s="629"/>
    </row>
    <row r="1610" spans="2:8" ht="25.5">
      <c r="B1610" s="139" t="s">
        <v>2168</v>
      </c>
      <c r="C1610" s="140" t="s">
        <v>1113</v>
      </c>
      <c r="D1610" s="141" t="s">
        <v>12</v>
      </c>
      <c r="E1610" s="141" t="s">
        <v>1112</v>
      </c>
      <c r="F1610" s="142"/>
      <c r="G1610" s="143"/>
      <c r="H1610" s="144"/>
    </row>
    <row r="1611" spans="2:8">
      <c r="B1611" s="145" t="s">
        <v>2169</v>
      </c>
      <c r="C1611" s="98" t="s">
        <v>2170</v>
      </c>
      <c r="D1611" s="99" t="s">
        <v>401</v>
      </c>
      <c r="E1611" s="99" t="s">
        <v>75</v>
      </c>
      <c r="F1611" s="94">
        <v>600</v>
      </c>
      <c r="G1611" s="95">
        <v>3.77</v>
      </c>
      <c r="H1611" s="147">
        <f>F1611*G1611</f>
        <v>2262</v>
      </c>
    </row>
    <row r="1612" spans="2:8">
      <c r="B1612" s="630" t="s">
        <v>1232</v>
      </c>
      <c r="C1612" s="631"/>
      <c r="D1612" s="631"/>
      <c r="E1612" s="631"/>
      <c r="F1612" s="631"/>
      <c r="G1612" s="632"/>
      <c r="H1612" s="148">
        <f>SUM(H1611)</f>
        <v>2262</v>
      </c>
    </row>
    <row r="1613" spans="2:8">
      <c r="B1613" s="627"/>
      <c r="C1613" s="628"/>
      <c r="D1613" s="628"/>
      <c r="E1613" s="628"/>
      <c r="F1613" s="628"/>
      <c r="G1613" s="628"/>
      <c r="H1613" s="629"/>
    </row>
    <row r="1614" spans="2:8" ht="25.5">
      <c r="B1614" s="139" t="s">
        <v>2171</v>
      </c>
      <c r="C1614" s="140" t="s">
        <v>55</v>
      </c>
      <c r="D1614" s="141" t="s">
        <v>12</v>
      </c>
      <c r="E1614" s="141" t="s">
        <v>37</v>
      </c>
      <c r="F1614" s="142"/>
      <c r="G1614" s="143"/>
      <c r="H1614" s="144"/>
    </row>
    <row r="1615" spans="2:8">
      <c r="B1615" s="145">
        <v>88248</v>
      </c>
      <c r="C1615" s="98" t="s">
        <v>1243</v>
      </c>
      <c r="D1615" s="99" t="s">
        <v>1229</v>
      </c>
      <c r="E1615" s="99" t="s">
        <v>1129</v>
      </c>
      <c r="F1615" s="94">
        <v>1</v>
      </c>
      <c r="G1615" s="95">
        <v>19.170000000000002</v>
      </c>
      <c r="H1615" s="147">
        <f>F1615*G1615</f>
        <v>19.170000000000002</v>
      </c>
    </row>
    <row r="1616" spans="2:8">
      <c r="B1616" s="145">
        <v>88267</v>
      </c>
      <c r="C1616" s="98" t="s">
        <v>1245</v>
      </c>
      <c r="D1616" s="99" t="s">
        <v>1229</v>
      </c>
      <c r="E1616" s="99" t="s">
        <v>1129</v>
      </c>
      <c r="F1616" s="94">
        <v>1</v>
      </c>
      <c r="G1616" s="95">
        <v>24.46</v>
      </c>
      <c r="H1616" s="147">
        <f t="shared" ref="H1616:H1620" si="156">F1616*G1616</f>
        <v>24.46</v>
      </c>
    </row>
    <row r="1617" spans="2:8">
      <c r="B1617" s="145">
        <v>88316</v>
      </c>
      <c r="C1617" s="98" t="s">
        <v>1247</v>
      </c>
      <c r="D1617" s="99" t="s">
        <v>1229</v>
      </c>
      <c r="E1617" s="99" t="s">
        <v>1129</v>
      </c>
      <c r="F1617" s="94" t="s">
        <v>1280</v>
      </c>
      <c r="G1617" s="95">
        <v>18.649999999999999</v>
      </c>
      <c r="H1617" s="147">
        <f t="shared" si="156"/>
        <v>9.3249999999999993</v>
      </c>
    </row>
    <row r="1618" spans="2:8" ht="25.5">
      <c r="B1618" s="145">
        <v>3148</v>
      </c>
      <c r="C1618" s="98" t="s">
        <v>2172</v>
      </c>
      <c r="D1618" s="99" t="s">
        <v>401</v>
      </c>
      <c r="E1618" s="99" t="s">
        <v>37</v>
      </c>
      <c r="F1618" s="94">
        <v>2.8511821E-2</v>
      </c>
      <c r="G1618" s="95">
        <v>13.68</v>
      </c>
      <c r="H1618" s="147">
        <f t="shared" si="156"/>
        <v>0.39004171127999998</v>
      </c>
    </row>
    <row r="1619" spans="2:8" ht="38.25">
      <c r="B1619" s="145" t="s">
        <v>1281</v>
      </c>
      <c r="C1619" s="98" t="s">
        <v>1282</v>
      </c>
      <c r="D1619" s="99" t="s">
        <v>401</v>
      </c>
      <c r="E1619" s="99" t="s">
        <v>15</v>
      </c>
      <c r="F1619" s="94">
        <v>1.05</v>
      </c>
      <c r="G1619" s="95">
        <f>9.98*1.2217</f>
        <v>12.192566000000001</v>
      </c>
      <c r="H1619" s="147">
        <f t="shared" si="156"/>
        <v>12.802194300000002</v>
      </c>
    </row>
    <row r="1620" spans="2:8" ht="25.5">
      <c r="B1620" s="145" t="s">
        <v>1283</v>
      </c>
      <c r="C1620" s="98" t="s">
        <v>1284</v>
      </c>
      <c r="D1620" s="99" t="s">
        <v>12</v>
      </c>
      <c r="E1620" s="99" t="s">
        <v>37</v>
      </c>
      <c r="F1620" s="94">
        <v>1</v>
      </c>
      <c r="G1620" s="95">
        <f>239.09*1.2217</f>
        <v>292.09625299999999</v>
      </c>
      <c r="H1620" s="147">
        <f t="shared" si="156"/>
        <v>292.09625299999999</v>
      </c>
    </row>
    <row r="1621" spans="2:8">
      <c r="B1621" s="630" t="s">
        <v>1232</v>
      </c>
      <c r="C1621" s="631"/>
      <c r="D1621" s="631"/>
      <c r="E1621" s="631"/>
      <c r="F1621" s="631"/>
      <c r="G1621" s="632"/>
      <c r="H1621" s="148">
        <f>SUM(H1615:H1620)</f>
        <v>358.24348901127996</v>
      </c>
    </row>
    <row r="1622" spans="2:8">
      <c r="B1622" s="627"/>
      <c r="C1622" s="628"/>
      <c r="D1622" s="628"/>
      <c r="E1622" s="628"/>
      <c r="F1622" s="628"/>
      <c r="G1622" s="628"/>
      <c r="H1622" s="629"/>
    </row>
    <row r="1623" spans="2:8" ht="38.25">
      <c r="B1623" s="139" t="s">
        <v>2173</v>
      </c>
      <c r="C1623" s="140" t="s">
        <v>1152</v>
      </c>
      <c r="D1623" s="141" t="s">
        <v>12</v>
      </c>
      <c r="E1623" s="141" t="s">
        <v>1153</v>
      </c>
      <c r="F1623" s="142"/>
      <c r="G1623" s="143"/>
      <c r="H1623" s="144"/>
    </row>
    <row r="1624" spans="2:8" ht="89.25">
      <c r="B1624" s="145" t="s">
        <v>1804</v>
      </c>
      <c r="C1624" s="98" t="s">
        <v>1805</v>
      </c>
      <c r="D1624" s="99" t="s">
        <v>12</v>
      </c>
      <c r="E1624" s="99" t="s">
        <v>1292</v>
      </c>
      <c r="F1624" s="94" t="s">
        <v>1744</v>
      </c>
      <c r="G1624" s="95">
        <v>170.78</v>
      </c>
      <c r="H1624" s="147">
        <f>F1624*G1624</f>
        <v>0.76850999999999992</v>
      </c>
    </row>
    <row r="1625" spans="2:8">
      <c r="B1625" s="630" t="s">
        <v>1232</v>
      </c>
      <c r="C1625" s="631"/>
      <c r="D1625" s="631"/>
      <c r="E1625" s="631"/>
      <c r="F1625" s="631"/>
      <c r="G1625" s="632"/>
      <c r="H1625" s="148">
        <f>SUM(H1624)</f>
        <v>0.76850999999999992</v>
      </c>
    </row>
  </sheetData>
  <mergeCells count="322">
    <mergeCell ref="B1509:G1509"/>
    <mergeCell ref="B1510:H1510"/>
    <mergeCell ref="B1516:G1516"/>
    <mergeCell ref="B1517:H1517"/>
    <mergeCell ref="B1523:G1523"/>
    <mergeCell ref="B1524:H1524"/>
    <mergeCell ref="B1475:H1475"/>
    <mergeCell ref="B1480:G1480"/>
    <mergeCell ref="B1481:H1481"/>
    <mergeCell ref="B1493:G1493"/>
    <mergeCell ref="B1494:H1494"/>
    <mergeCell ref="B1500:G1500"/>
    <mergeCell ref="B1583:H1583"/>
    <mergeCell ref="B1529:G1529"/>
    <mergeCell ref="B1530:H1530"/>
    <mergeCell ref="B1535:G1535"/>
    <mergeCell ref="B1612:G1612"/>
    <mergeCell ref="B1613:H1613"/>
    <mergeCell ref="B1621:G1621"/>
    <mergeCell ref="B1622:H1622"/>
    <mergeCell ref="B1625:G1625"/>
    <mergeCell ref="B1598:G1598"/>
    <mergeCell ref="B1599:H1599"/>
    <mergeCell ref="B1604:G1604"/>
    <mergeCell ref="B1605:H1605"/>
    <mergeCell ref="B1608:G1608"/>
    <mergeCell ref="B1609:H1609"/>
    <mergeCell ref="B1536:H1536"/>
    <mergeCell ref="B1543:G1543"/>
    <mergeCell ref="B1544:H1544"/>
    <mergeCell ref="B1550:G1550"/>
    <mergeCell ref="B1551:H1551"/>
    <mergeCell ref="B1566:G1566"/>
    <mergeCell ref="B1567:H1567"/>
    <mergeCell ref="B1582:G1582"/>
    <mergeCell ref="B1468:G1468"/>
    <mergeCell ref="B1469:H1469"/>
    <mergeCell ref="B1474:G1474"/>
    <mergeCell ref="B1435:G1435"/>
    <mergeCell ref="B1436:H1436"/>
    <mergeCell ref="B1437:H1437"/>
    <mergeCell ref="B1451:G1451"/>
    <mergeCell ref="B1452:H1452"/>
    <mergeCell ref="B1457:G1457"/>
    <mergeCell ref="B1458:H1458"/>
    <mergeCell ref="B1462:G1462"/>
    <mergeCell ref="B1463:H1463"/>
    <mergeCell ref="B1390:G1390"/>
    <mergeCell ref="B1391:H1391"/>
    <mergeCell ref="B1405:G1405"/>
    <mergeCell ref="B1406:H1406"/>
    <mergeCell ref="B1420:G1420"/>
    <mergeCell ref="B1421:H1421"/>
    <mergeCell ref="B1347:G1347"/>
    <mergeCell ref="B1348:H1348"/>
    <mergeCell ref="B1379:G1379"/>
    <mergeCell ref="B1380:H1380"/>
    <mergeCell ref="B1384:G1384"/>
    <mergeCell ref="B1385:H1385"/>
    <mergeCell ref="B1317:H1317"/>
    <mergeCell ref="B1323:G1323"/>
    <mergeCell ref="B1324:H1324"/>
    <mergeCell ref="B1330:G1330"/>
    <mergeCell ref="B1339:G1339"/>
    <mergeCell ref="B1340:H1340"/>
    <mergeCell ref="B1287:G1287"/>
    <mergeCell ref="B1304:G1304"/>
    <mergeCell ref="B1305:H1305"/>
    <mergeCell ref="B1310:G1310"/>
    <mergeCell ref="B1311:H1311"/>
    <mergeCell ref="B1316:G1316"/>
    <mergeCell ref="B1242:G1242"/>
    <mergeCell ref="B1243:H1243"/>
    <mergeCell ref="B1257:G1257"/>
    <mergeCell ref="B1258:H1258"/>
    <mergeCell ref="B1272:G1272"/>
    <mergeCell ref="B1273:H1273"/>
    <mergeCell ref="B1204:G1204"/>
    <mergeCell ref="B1205:H1205"/>
    <mergeCell ref="B1213:G1213"/>
    <mergeCell ref="B1214:H1214"/>
    <mergeCell ref="B1227:G1227"/>
    <mergeCell ref="B1228:H1228"/>
    <mergeCell ref="B1177:G1177"/>
    <mergeCell ref="B1178:H1178"/>
    <mergeCell ref="B1186:G1186"/>
    <mergeCell ref="B1187:H1187"/>
    <mergeCell ref="B1195:G1195"/>
    <mergeCell ref="B1196:H1196"/>
    <mergeCell ref="B1150:G1150"/>
    <mergeCell ref="B1151:H1151"/>
    <mergeCell ref="B1159:G1159"/>
    <mergeCell ref="B1160:H1160"/>
    <mergeCell ref="B1168:G1168"/>
    <mergeCell ref="B1169:H1169"/>
    <mergeCell ref="B1116:G1116"/>
    <mergeCell ref="B1117:H1117"/>
    <mergeCell ref="B1130:G1130"/>
    <mergeCell ref="B1131:H1131"/>
    <mergeCell ref="B1140:G1140"/>
    <mergeCell ref="B1141:H1141"/>
    <mergeCell ref="B1088:G1088"/>
    <mergeCell ref="B1089:H1089"/>
    <mergeCell ref="B1096:G1096"/>
    <mergeCell ref="B1097:H1097"/>
    <mergeCell ref="B1103:G1103"/>
    <mergeCell ref="B1104:H1104"/>
    <mergeCell ref="B1062:G1062"/>
    <mergeCell ref="B1063:H1063"/>
    <mergeCell ref="B1073:G1073"/>
    <mergeCell ref="B1074:H1074"/>
    <mergeCell ref="B1080:G1080"/>
    <mergeCell ref="B1081:H1081"/>
    <mergeCell ref="B1014:G1014"/>
    <mergeCell ref="B1015:H1015"/>
    <mergeCell ref="B1039:G1039"/>
    <mergeCell ref="B1040:H1040"/>
    <mergeCell ref="B1052:G1052"/>
    <mergeCell ref="B1053:H1053"/>
    <mergeCell ref="B993:G993"/>
    <mergeCell ref="B994:H994"/>
    <mergeCell ref="B999:G999"/>
    <mergeCell ref="B1000:H1000"/>
    <mergeCell ref="B1005:G1005"/>
    <mergeCell ref="B1006:H1006"/>
    <mergeCell ref="B969:G969"/>
    <mergeCell ref="B970:H970"/>
    <mergeCell ref="B979:G979"/>
    <mergeCell ref="B980:H980"/>
    <mergeCell ref="B985:G985"/>
    <mergeCell ref="B986:H986"/>
    <mergeCell ref="B935:G935"/>
    <mergeCell ref="B936:H936"/>
    <mergeCell ref="B943:G943"/>
    <mergeCell ref="B944:H944"/>
    <mergeCell ref="B951:G951"/>
    <mergeCell ref="B952:H952"/>
    <mergeCell ref="B902:G902"/>
    <mergeCell ref="B903:H903"/>
    <mergeCell ref="B918:G918"/>
    <mergeCell ref="B919:H919"/>
    <mergeCell ref="B927:G927"/>
    <mergeCell ref="B928:H928"/>
    <mergeCell ref="B867:G867"/>
    <mergeCell ref="B877:G877"/>
    <mergeCell ref="B887:G887"/>
    <mergeCell ref="B888:H888"/>
    <mergeCell ref="B897:G897"/>
    <mergeCell ref="B898:H898"/>
    <mergeCell ref="B829:G829"/>
    <mergeCell ref="B830:H830"/>
    <mergeCell ref="B839:G839"/>
    <mergeCell ref="B840:H840"/>
    <mergeCell ref="B848:G848"/>
    <mergeCell ref="B858:G858"/>
    <mergeCell ref="B807:G807"/>
    <mergeCell ref="B808:H808"/>
    <mergeCell ref="B815:G815"/>
    <mergeCell ref="B816:H816"/>
    <mergeCell ref="B823:G823"/>
    <mergeCell ref="B824:H824"/>
    <mergeCell ref="B784:G784"/>
    <mergeCell ref="B785:H785"/>
    <mergeCell ref="B792:G792"/>
    <mergeCell ref="B793:H793"/>
    <mergeCell ref="B799:G799"/>
    <mergeCell ref="B800:H800"/>
    <mergeCell ref="B765:G765"/>
    <mergeCell ref="B766:H766"/>
    <mergeCell ref="B770:G770"/>
    <mergeCell ref="B771:H771"/>
    <mergeCell ref="B776:G776"/>
    <mergeCell ref="B777:H777"/>
    <mergeCell ref="B734:G734"/>
    <mergeCell ref="B735:H735"/>
    <mergeCell ref="B741:G741"/>
    <mergeCell ref="B742:H742"/>
    <mergeCell ref="B750:G750"/>
    <mergeCell ref="B751:H751"/>
    <mergeCell ref="B712:G712"/>
    <mergeCell ref="B713:H713"/>
    <mergeCell ref="B720:G720"/>
    <mergeCell ref="B721:H721"/>
    <mergeCell ref="B728:G728"/>
    <mergeCell ref="B729:H729"/>
    <mergeCell ref="B690:G690"/>
    <mergeCell ref="B691:H691"/>
    <mergeCell ref="B697:G697"/>
    <mergeCell ref="B698:H698"/>
    <mergeCell ref="B706:G706"/>
    <mergeCell ref="B707:H707"/>
    <mergeCell ref="B672:G672"/>
    <mergeCell ref="B673:H673"/>
    <mergeCell ref="B676:G676"/>
    <mergeCell ref="B677:H677"/>
    <mergeCell ref="B683:G683"/>
    <mergeCell ref="B684:H684"/>
    <mergeCell ref="B650:G650"/>
    <mergeCell ref="B651:H651"/>
    <mergeCell ref="B664:G664"/>
    <mergeCell ref="B665:H665"/>
    <mergeCell ref="B668:G668"/>
    <mergeCell ref="B669:H669"/>
    <mergeCell ref="B624:G624"/>
    <mergeCell ref="B625:H625"/>
    <mergeCell ref="B631:G631"/>
    <mergeCell ref="B632:H632"/>
    <mergeCell ref="B638:G638"/>
    <mergeCell ref="B639:H639"/>
    <mergeCell ref="B590:G590"/>
    <mergeCell ref="B591:H591"/>
    <mergeCell ref="B610:G610"/>
    <mergeCell ref="B611:H611"/>
    <mergeCell ref="B615:G615"/>
    <mergeCell ref="B616:H616"/>
    <mergeCell ref="B530:G530"/>
    <mergeCell ref="B531:H531"/>
    <mergeCell ref="B550:G550"/>
    <mergeCell ref="B551:H551"/>
    <mergeCell ref="B570:G570"/>
    <mergeCell ref="B571:H571"/>
    <mergeCell ref="B470:G470"/>
    <mergeCell ref="B471:H471"/>
    <mergeCell ref="B488:G488"/>
    <mergeCell ref="B489:H489"/>
    <mergeCell ref="B507:G507"/>
    <mergeCell ref="B508:H508"/>
    <mergeCell ref="B413:G413"/>
    <mergeCell ref="B414:H414"/>
    <mergeCell ref="B431:G431"/>
    <mergeCell ref="B432:H432"/>
    <mergeCell ref="B451:G451"/>
    <mergeCell ref="B452:H452"/>
    <mergeCell ref="B355:G355"/>
    <mergeCell ref="B356:H356"/>
    <mergeCell ref="B375:G375"/>
    <mergeCell ref="B376:H376"/>
    <mergeCell ref="B393:G393"/>
    <mergeCell ref="B394:H394"/>
    <mergeCell ref="B294:G294"/>
    <mergeCell ref="B295:H295"/>
    <mergeCell ref="B315:G315"/>
    <mergeCell ref="B316:H316"/>
    <mergeCell ref="B335:G335"/>
    <mergeCell ref="B336:H336"/>
    <mergeCell ref="B245:H245"/>
    <mergeCell ref="B254:G254"/>
    <mergeCell ref="B255:H255"/>
    <mergeCell ref="B274:G274"/>
    <mergeCell ref="B275:H275"/>
    <mergeCell ref="J276:L277"/>
    <mergeCell ref="B229:H229"/>
    <mergeCell ref="B232:G232"/>
    <mergeCell ref="B233:H233"/>
    <mergeCell ref="B236:G236"/>
    <mergeCell ref="B237:H237"/>
    <mergeCell ref="B244:G244"/>
    <mergeCell ref="B203:H203"/>
    <mergeCell ref="B211:G211"/>
    <mergeCell ref="B212:H212"/>
    <mergeCell ref="B220:G220"/>
    <mergeCell ref="B221:H221"/>
    <mergeCell ref="B228:G228"/>
    <mergeCell ref="B180:G180"/>
    <mergeCell ref="B181:H181"/>
    <mergeCell ref="B187:G187"/>
    <mergeCell ref="B195:G195"/>
    <mergeCell ref="B196:H196"/>
    <mergeCell ref="B202:G202"/>
    <mergeCell ref="B159:G159"/>
    <mergeCell ref="B160:H160"/>
    <mergeCell ref="B166:G166"/>
    <mergeCell ref="B167:H167"/>
    <mergeCell ref="B174:G174"/>
    <mergeCell ref="B175:H175"/>
    <mergeCell ref="B133:H133"/>
    <mergeCell ref="B141:G141"/>
    <mergeCell ref="B142:H142"/>
    <mergeCell ref="B150:G150"/>
    <mergeCell ref="B151:H151"/>
    <mergeCell ref="B105:H105"/>
    <mergeCell ref="B114:G114"/>
    <mergeCell ref="B115:H115"/>
    <mergeCell ref="B124:G124"/>
    <mergeCell ref="B125:H125"/>
    <mergeCell ref="B132:G132"/>
    <mergeCell ref="B94:G94"/>
    <mergeCell ref="B95:H95"/>
    <mergeCell ref="B104:G104"/>
    <mergeCell ref="B1:H1"/>
    <mergeCell ref="B24:G24"/>
    <mergeCell ref="B13:H13"/>
    <mergeCell ref="B67:H67"/>
    <mergeCell ref="B75:G75"/>
    <mergeCell ref="B76:H76"/>
    <mergeCell ref="B80:G80"/>
    <mergeCell ref="B81:H81"/>
    <mergeCell ref="B84:G84"/>
    <mergeCell ref="B25:H25"/>
    <mergeCell ref="B44:G44"/>
    <mergeCell ref="B45:H45"/>
    <mergeCell ref="B52:G52"/>
    <mergeCell ref="B53:H53"/>
    <mergeCell ref="B66:G66"/>
    <mergeCell ref="F12:H12"/>
    <mergeCell ref="B14:H14"/>
    <mergeCell ref="B15:H15"/>
    <mergeCell ref="F7:G7"/>
    <mergeCell ref="B8:H8"/>
    <mergeCell ref="B9:H9"/>
    <mergeCell ref="B16:H16"/>
    <mergeCell ref="B4:E4"/>
    <mergeCell ref="F4:G4"/>
    <mergeCell ref="B5:E5"/>
    <mergeCell ref="B6:E6"/>
    <mergeCell ref="F6:G6"/>
    <mergeCell ref="B85:H85"/>
    <mergeCell ref="B88:G88"/>
    <mergeCell ref="B89:H89"/>
    <mergeCell ref="B11:H11"/>
    <mergeCell ref="B18:H18"/>
    <mergeCell ref="B17:H17"/>
  </mergeCells>
  <phoneticPr fontId="37" type="noConversion"/>
  <pageMargins left="0.511811024" right="0.511811024" top="0.78740157499999996" bottom="0.78740157499999996" header="0.31496062000000002" footer="0.31496062000000002"/>
  <pageSetup paperSize="9" scale="1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2156C-AB70-44B4-BE4D-497BB61C4DA0}">
  <dimension ref="C1:H28"/>
  <sheetViews>
    <sheetView workbookViewId="0">
      <selection activeCell="H28" sqref="H28"/>
    </sheetView>
  </sheetViews>
  <sheetFormatPr defaultRowHeight="15"/>
  <cols>
    <col min="1" max="2" width="3.7109375" style="416" customWidth="1"/>
    <col min="3" max="3" width="9.140625" style="416"/>
    <col min="4" max="4" width="12.85546875" style="436" customWidth="1"/>
    <col min="5" max="5" width="13.85546875" style="437" customWidth="1"/>
    <col min="6" max="6" width="9.140625" style="416"/>
    <col min="7" max="7" width="3.7109375" style="416" customWidth="1"/>
    <col min="8" max="256" width="9.140625" style="416"/>
    <col min="257" max="258" width="3.7109375" style="416" customWidth="1"/>
    <col min="259" max="259" width="9.140625" style="416"/>
    <col min="260" max="260" width="12.85546875" style="416" customWidth="1"/>
    <col min="261" max="261" width="13.85546875" style="416" customWidth="1"/>
    <col min="262" max="262" width="9.140625" style="416"/>
    <col min="263" max="263" width="3.7109375" style="416" customWidth="1"/>
    <col min="264" max="512" width="9.140625" style="416"/>
    <col min="513" max="514" width="3.7109375" style="416" customWidth="1"/>
    <col min="515" max="515" width="9.140625" style="416"/>
    <col min="516" max="516" width="12.85546875" style="416" customWidth="1"/>
    <col min="517" max="517" width="13.85546875" style="416" customWidth="1"/>
    <col min="518" max="518" width="9.140625" style="416"/>
    <col min="519" max="519" width="3.7109375" style="416" customWidth="1"/>
    <col min="520" max="768" width="9.140625" style="416"/>
    <col min="769" max="770" width="3.7109375" style="416" customWidth="1"/>
    <col min="771" max="771" width="9.140625" style="416"/>
    <col min="772" max="772" width="12.85546875" style="416" customWidth="1"/>
    <col min="773" max="773" width="13.85546875" style="416" customWidth="1"/>
    <col min="774" max="774" width="9.140625" style="416"/>
    <col min="775" max="775" width="3.7109375" style="416" customWidth="1"/>
    <col min="776" max="1024" width="9.140625" style="416"/>
    <col min="1025" max="1026" width="3.7109375" style="416" customWidth="1"/>
    <col min="1027" max="1027" width="9.140625" style="416"/>
    <col min="1028" max="1028" width="12.85546875" style="416" customWidth="1"/>
    <col min="1029" max="1029" width="13.85546875" style="416" customWidth="1"/>
    <col min="1030" max="1030" width="9.140625" style="416"/>
    <col min="1031" max="1031" width="3.7109375" style="416" customWidth="1"/>
    <col min="1032" max="1280" width="9.140625" style="416"/>
    <col min="1281" max="1282" width="3.7109375" style="416" customWidth="1"/>
    <col min="1283" max="1283" width="9.140625" style="416"/>
    <col min="1284" max="1284" width="12.85546875" style="416" customWidth="1"/>
    <col min="1285" max="1285" width="13.85546875" style="416" customWidth="1"/>
    <col min="1286" max="1286" width="9.140625" style="416"/>
    <col min="1287" max="1287" width="3.7109375" style="416" customWidth="1"/>
    <col min="1288" max="1536" width="9.140625" style="416"/>
    <col min="1537" max="1538" width="3.7109375" style="416" customWidth="1"/>
    <col min="1539" max="1539" width="9.140625" style="416"/>
    <col min="1540" max="1540" width="12.85546875" style="416" customWidth="1"/>
    <col min="1541" max="1541" width="13.85546875" style="416" customWidth="1"/>
    <col min="1542" max="1542" width="9.140625" style="416"/>
    <col min="1543" max="1543" width="3.7109375" style="416" customWidth="1"/>
    <col min="1544" max="1792" width="9.140625" style="416"/>
    <col min="1793" max="1794" width="3.7109375" style="416" customWidth="1"/>
    <col min="1795" max="1795" width="9.140625" style="416"/>
    <col min="1796" max="1796" width="12.85546875" style="416" customWidth="1"/>
    <col min="1797" max="1797" width="13.85546875" style="416" customWidth="1"/>
    <col min="1798" max="1798" width="9.140625" style="416"/>
    <col min="1799" max="1799" width="3.7109375" style="416" customWidth="1"/>
    <col min="1800" max="2048" width="9.140625" style="416"/>
    <col min="2049" max="2050" width="3.7109375" style="416" customWidth="1"/>
    <col min="2051" max="2051" width="9.140625" style="416"/>
    <col min="2052" max="2052" width="12.85546875" style="416" customWidth="1"/>
    <col min="2053" max="2053" width="13.85546875" style="416" customWidth="1"/>
    <col min="2054" max="2054" width="9.140625" style="416"/>
    <col min="2055" max="2055" width="3.7109375" style="416" customWidth="1"/>
    <col min="2056" max="2304" width="9.140625" style="416"/>
    <col min="2305" max="2306" width="3.7109375" style="416" customWidth="1"/>
    <col min="2307" max="2307" width="9.140625" style="416"/>
    <col min="2308" max="2308" width="12.85546875" style="416" customWidth="1"/>
    <col min="2309" max="2309" width="13.85546875" style="416" customWidth="1"/>
    <col min="2310" max="2310" width="9.140625" style="416"/>
    <col min="2311" max="2311" width="3.7109375" style="416" customWidth="1"/>
    <col min="2312" max="2560" width="9.140625" style="416"/>
    <col min="2561" max="2562" width="3.7109375" style="416" customWidth="1"/>
    <col min="2563" max="2563" width="9.140625" style="416"/>
    <col min="2564" max="2564" width="12.85546875" style="416" customWidth="1"/>
    <col min="2565" max="2565" width="13.85546875" style="416" customWidth="1"/>
    <col min="2566" max="2566" width="9.140625" style="416"/>
    <col min="2567" max="2567" width="3.7109375" style="416" customWidth="1"/>
    <col min="2568" max="2816" width="9.140625" style="416"/>
    <col min="2817" max="2818" width="3.7109375" style="416" customWidth="1"/>
    <col min="2819" max="2819" width="9.140625" style="416"/>
    <col min="2820" max="2820" width="12.85546875" style="416" customWidth="1"/>
    <col min="2821" max="2821" width="13.85546875" style="416" customWidth="1"/>
    <col min="2822" max="2822" width="9.140625" style="416"/>
    <col min="2823" max="2823" width="3.7109375" style="416" customWidth="1"/>
    <col min="2824" max="3072" width="9.140625" style="416"/>
    <col min="3073" max="3074" width="3.7109375" style="416" customWidth="1"/>
    <col min="3075" max="3075" width="9.140625" style="416"/>
    <col min="3076" max="3076" width="12.85546875" style="416" customWidth="1"/>
    <col min="3077" max="3077" width="13.85546875" style="416" customWidth="1"/>
    <col min="3078" max="3078" width="9.140625" style="416"/>
    <col min="3079" max="3079" width="3.7109375" style="416" customWidth="1"/>
    <col min="3080" max="3328" width="9.140625" style="416"/>
    <col min="3329" max="3330" width="3.7109375" style="416" customWidth="1"/>
    <col min="3331" max="3331" width="9.140625" style="416"/>
    <col min="3332" max="3332" width="12.85546875" style="416" customWidth="1"/>
    <col min="3333" max="3333" width="13.85546875" style="416" customWidth="1"/>
    <col min="3334" max="3334" width="9.140625" style="416"/>
    <col min="3335" max="3335" width="3.7109375" style="416" customWidth="1"/>
    <col min="3336" max="3584" width="9.140625" style="416"/>
    <col min="3585" max="3586" width="3.7109375" style="416" customWidth="1"/>
    <col min="3587" max="3587" width="9.140625" style="416"/>
    <col min="3588" max="3588" width="12.85546875" style="416" customWidth="1"/>
    <col min="3589" max="3589" width="13.85546875" style="416" customWidth="1"/>
    <col min="3590" max="3590" width="9.140625" style="416"/>
    <col min="3591" max="3591" width="3.7109375" style="416" customWidth="1"/>
    <col min="3592" max="3840" width="9.140625" style="416"/>
    <col min="3841" max="3842" width="3.7109375" style="416" customWidth="1"/>
    <col min="3843" max="3843" width="9.140625" style="416"/>
    <col min="3844" max="3844" width="12.85546875" style="416" customWidth="1"/>
    <col min="3845" max="3845" width="13.85546875" style="416" customWidth="1"/>
    <col min="3846" max="3846" width="9.140625" style="416"/>
    <col min="3847" max="3847" width="3.7109375" style="416" customWidth="1"/>
    <col min="3848" max="4096" width="9.140625" style="416"/>
    <col min="4097" max="4098" width="3.7109375" style="416" customWidth="1"/>
    <col min="4099" max="4099" width="9.140625" style="416"/>
    <col min="4100" max="4100" width="12.85546875" style="416" customWidth="1"/>
    <col min="4101" max="4101" width="13.85546875" style="416" customWidth="1"/>
    <col min="4102" max="4102" width="9.140625" style="416"/>
    <col min="4103" max="4103" width="3.7109375" style="416" customWidth="1"/>
    <col min="4104" max="4352" width="9.140625" style="416"/>
    <col min="4353" max="4354" width="3.7109375" style="416" customWidth="1"/>
    <col min="4355" max="4355" width="9.140625" style="416"/>
    <col min="4356" max="4356" width="12.85546875" style="416" customWidth="1"/>
    <col min="4357" max="4357" width="13.85546875" style="416" customWidth="1"/>
    <col min="4358" max="4358" width="9.140625" style="416"/>
    <col min="4359" max="4359" width="3.7109375" style="416" customWidth="1"/>
    <col min="4360" max="4608" width="9.140625" style="416"/>
    <col min="4609" max="4610" width="3.7109375" style="416" customWidth="1"/>
    <col min="4611" max="4611" width="9.140625" style="416"/>
    <col min="4612" max="4612" width="12.85546875" style="416" customWidth="1"/>
    <col min="4613" max="4613" width="13.85546875" style="416" customWidth="1"/>
    <col min="4614" max="4614" width="9.140625" style="416"/>
    <col min="4615" max="4615" width="3.7109375" style="416" customWidth="1"/>
    <col min="4616" max="4864" width="9.140625" style="416"/>
    <col min="4865" max="4866" width="3.7109375" style="416" customWidth="1"/>
    <col min="4867" max="4867" width="9.140625" style="416"/>
    <col min="4868" max="4868" width="12.85546875" style="416" customWidth="1"/>
    <col min="4869" max="4869" width="13.85546875" style="416" customWidth="1"/>
    <col min="4870" max="4870" width="9.140625" style="416"/>
    <col min="4871" max="4871" width="3.7109375" style="416" customWidth="1"/>
    <col min="4872" max="5120" width="9.140625" style="416"/>
    <col min="5121" max="5122" width="3.7109375" style="416" customWidth="1"/>
    <col min="5123" max="5123" width="9.140625" style="416"/>
    <col min="5124" max="5124" width="12.85546875" style="416" customWidth="1"/>
    <col min="5125" max="5125" width="13.85546875" style="416" customWidth="1"/>
    <col min="5126" max="5126" width="9.140625" style="416"/>
    <col min="5127" max="5127" width="3.7109375" style="416" customWidth="1"/>
    <col min="5128" max="5376" width="9.140625" style="416"/>
    <col min="5377" max="5378" width="3.7109375" style="416" customWidth="1"/>
    <col min="5379" max="5379" width="9.140625" style="416"/>
    <col min="5380" max="5380" width="12.85546875" style="416" customWidth="1"/>
    <col min="5381" max="5381" width="13.85546875" style="416" customWidth="1"/>
    <col min="5382" max="5382" width="9.140625" style="416"/>
    <col min="5383" max="5383" width="3.7109375" style="416" customWidth="1"/>
    <col min="5384" max="5632" width="9.140625" style="416"/>
    <col min="5633" max="5634" width="3.7109375" style="416" customWidth="1"/>
    <col min="5635" max="5635" width="9.140625" style="416"/>
    <col min="5636" max="5636" width="12.85546875" style="416" customWidth="1"/>
    <col min="5637" max="5637" width="13.85546875" style="416" customWidth="1"/>
    <col min="5638" max="5638" width="9.140625" style="416"/>
    <col min="5639" max="5639" width="3.7109375" style="416" customWidth="1"/>
    <col min="5640" max="5888" width="9.140625" style="416"/>
    <col min="5889" max="5890" width="3.7109375" style="416" customWidth="1"/>
    <col min="5891" max="5891" width="9.140625" style="416"/>
    <col min="5892" max="5892" width="12.85546875" style="416" customWidth="1"/>
    <col min="5893" max="5893" width="13.85546875" style="416" customWidth="1"/>
    <col min="5894" max="5894" width="9.140625" style="416"/>
    <col min="5895" max="5895" width="3.7109375" style="416" customWidth="1"/>
    <col min="5896" max="6144" width="9.140625" style="416"/>
    <col min="6145" max="6146" width="3.7109375" style="416" customWidth="1"/>
    <col min="6147" max="6147" width="9.140625" style="416"/>
    <col min="6148" max="6148" width="12.85546875" style="416" customWidth="1"/>
    <col min="6149" max="6149" width="13.85546875" style="416" customWidth="1"/>
    <col min="6150" max="6150" width="9.140625" style="416"/>
    <col min="6151" max="6151" width="3.7109375" style="416" customWidth="1"/>
    <col min="6152" max="6400" width="9.140625" style="416"/>
    <col min="6401" max="6402" width="3.7109375" style="416" customWidth="1"/>
    <col min="6403" max="6403" width="9.140625" style="416"/>
    <col min="6404" max="6404" width="12.85546875" style="416" customWidth="1"/>
    <col min="6405" max="6405" width="13.85546875" style="416" customWidth="1"/>
    <col min="6406" max="6406" width="9.140625" style="416"/>
    <col min="6407" max="6407" width="3.7109375" style="416" customWidth="1"/>
    <col min="6408" max="6656" width="9.140625" style="416"/>
    <col min="6657" max="6658" width="3.7109375" style="416" customWidth="1"/>
    <col min="6659" max="6659" width="9.140625" style="416"/>
    <col min="6660" max="6660" width="12.85546875" style="416" customWidth="1"/>
    <col min="6661" max="6661" width="13.85546875" style="416" customWidth="1"/>
    <col min="6662" max="6662" width="9.140625" style="416"/>
    <col min="6663" max="6663" width="3.7109375" style="416" customWidth="1"/>
    <col min="6664" max="6912" width="9.140625" style="416"/>
    <col min="6913" max="6914" width="3.7109375" style="416" customWidth="1"/>
    <col min="6915" max="6915" width="9.140625" style="416"/>
    <col min="6916" max="6916" width="12.85546875" style="416" customWidth="1"/>
    <col min="6917" max="6917" width="13.85546875" style="416" customWidth="1"/>
    <col min="6918" max="6918" width="9.140625" style="416"/>
    <col min="6919" max="6919" width="3.7109375" style="416" customWidth="1"/>
    <col min="6920" max="7168" width="9.140625" style="416"/>
    <col min="7169" max="7170" width="3.7109375" style="416" customWidth="1"/>
    <col min="7171" max="7171" width="9.140625" style="416"/>
    <col min="7172" max="7172" width="12.85546875" style="416" customWidth="1"/>
    <col min="7173" max="7173" width="13.85546875" style="416" customWidth="1"/>
    <col min="7174" max="7174" width="9.140625" style="416"/>
    <col min="7175" max="7175" width="3.7109375" style="416" customWidth="1"/>
    <col min="7176" max="7424" width="9.140625" style="416"/>
    <col min="7425" max="7426" width="3.7109375" style="416" customWidth="1"/>
    <col min="7427" max="7427" width="9.140625" style="416"/>
    <col min="7428" max="7428" width="12.85546875" style="416" customWidth="1"/>
    <col min="7429" max="7429" width="13.85546875" style="416" customWidth="1"/>
    <col min="7430" max="7430" width="9.140625" style="416"/>
    <col min="7431" max="7431" width="3.7109375" style="416" customWidth="1"/>
    <col min="7432" max="7680" width="9.140625" style="416"/>
    <col min="7681" max="7682" width="3.7109375" style="416" customWidth="1"/>
    <col min="7683" max="7683" width="9.140625" style="416"/>
    <col min="7684" max="7684" width="12.85546875" style="416" customWidth="1"/>
    <col min="7685" max="7685" width="13.85546875" style="416" customWidth="1"/>
    <col min="7686" max="7686" width="9.140625" style="416"/>
    <col min="7687" max="7687" width="3.7109375" style="416" customWidth="1"/>
    <col min="7688" max="7936" width="9.140625" style="416"/>
    <col min="7937" max="7938" width="3.7109375" style="416" customWidth="1"/>
    <col min="7939" max="7939" width="9.140625" style="416"/>
    <col min="7940" max="7940" width="12.85546875" style="416" customWidth="1"/>
    <col min="7941" max="7941" width="13.85546875" style="416" customWidth="1"/>
    <col min="7942" max="7942" width="9.140625" style="416"/>
    <col min="7943" max="7943" width="3.7109375" style="416" customWidth="1"/>
    <col min="7944" max="8192" width="9.140625" style="416"/>
    <col min="8193" max="8194" width="3.7109375" style="416" customWidth="1"/>
    <col min="8195" max="8195" width="9.140625" style="416"/>
    <col min="8196" max="8196" width="12.85546875" style="416" customWidth="1"/>
    <col min="8197" max="8197" width="13.85546875" style="416" customWidth="1"/>
    <col min="8198" max="8198" width="9.140625" style="416"/>
    <col min="8199" max="8199" width="3.7109375" style="416" customWidth="1"/>
    <col min="8200" max="8448" width="9.140625" style="416"/>
    <col min="8449" max="8450" width="3.7109375" style="416" customWidth="1"/>
    <col min="8451" max="8451" width="9.140625" style="416"/>
    <col min="8452" max="8452" width="12.85546875" style="416" customWidth="1"/>
    <col min="8453" max="8453" width="13.85546875" style="416" customWidth="1"/>
    <col min="8454" max="8454" width="9.140625" style="416"/>
    <col min="8455" max="8455" width="3.7109375" style="416" customWidth="1"/>
    <col min="8456" max="8704" width="9.140625" style="416"/>
    <col min="8705" max="8706" width="3.7109375" style="416" customWidth="1"/>
    <col min="8707" max="8707" width="9.140625" style="416"/>
    <col min="8708" max="8708" width="12.85546875" style="416" customWidth="1"/>
    <col min="8709" max="8709" width="13.85546875" style="416" customWidth="1"/>
    <col min="8710" max="8710" width="9.140625" style="416"/>
    <col min="8711" max="8711" width="3.7109375" style="416" customWidth="1"/>
    <col min="8712" max="8960" width="9.140625" style="416"/>
    <col min="8961" max="8962" width="3.7109375" style="416" customWidth="1"/>
    <col min="8963" max="8963" width="9.140625" style="416"/>
    <col min="8964" max="8964" width="12.85546875" style="416" customWidth="1"/>
    <col min="8965" max="8965" width="13.85546875" style="416" customWidth="1"/>
    <col min="8966" max="8966" width="9.140625" style="416"/>
    <col min="8967" max="8967" width="3.7109375" style="416" customWidth="1"/>
    <col min="8968" max="9216" width="9.140625" style="416"/>
    <col min="9217" max="9218" width="3.7109375" style="416" customWidth="1"/>
    <col min="9219" max="9219" width="9.140625" style="416"/>
    <col min="9220" max="9220" width="12.85546875" style="416" customWidth="1"/>
    <col min="9221" max="9221" width="13.85546875" style="416" customWidth="1"/>
    <col min="9222" max="9222" width="9.140625" style="416"/>
    <col min="9223" max="9223" width="3.7109375" style="416" customWidth="1"/>
    <col min="9224" max="9472" width="9.140625" style="416"/>
    <col min="9473" max="9474" width="3.7109375" style="416" customWidth="1"/>
    <col min="9475" max="9475" width="9.140625" style="416"/>
    <col min="9476" max="9476" width="12.85546875" style="416" customWidth="1"/>
    <col min="9477" max="9477" width="13.85546875" style="416" customWidth="1"/>
    <col min="9478" max="9478" width="9.140625" style="416"/>
    <col min="9479" max="9479" width="3.7109375" style="416" customWidth="1"/>
    <col min="9480" max="9728" width="9.140625" style="416"/>
    <col min="9729" max="9730" width="3.7109375" style="416" customWidth="1"/>
    <col min="9731" max="9731" width="9.140625" style="416"/>
    <col min="9732" max="9732" width="12.85546875" style="416" customWidth="1"/>
    <col min="9733" max="9733" width="13.85546875" style="416" customWidth="1"/>
    <col min="9734" max="9734" width="9.140625" style="416"/>
    <col min="9735" max="9735" width="3.7109375" style="416" customWidth="1"/>
    <col min="9736" max="9984" width="9.140625" style="416"/>
    <col min="9985" max="9986" width="3.7109375" style="416" customWidth="1"/>
    <col min="9987" max="9987" width="9.140625" style="416"/>
    <col min="9988" max="9988" width="12.85546875" style="416" customWidth="1"/>
    <col min="9989" max="9989" width="13.85546875" style="416" customWidth="1"/>
    <col min="9990" max="9990" width="9.140625" style="416"/>
    <col min="9991" max="9991" width="3.7109375" style="416" customWidth="1"/>
    <col min="9992" max="10240" width="9.140625" style="416"/>
    <col min="10241" max="10242" width="3.7109375" style="416" customWidth="1"/>
    <col min="10243" max="10243" width="9.140625" style="416"/>
    <col min="10244" max="10244" width="12.85546875" style="416" customWidth="1"/>
    <col min="10245" max="10245" width="13.85546875" style="416" customWidth="1"/>
    <col min="10246" max="10246" width="9.140625" style="416"/>
    <col min="10247" max="10247" width="3.7109375" style="416" customWidth="1"/>
    <col min="10248" max="10496" width="9.140625" style="416"/>
    <col min="10497" max="10498" width="3.7109375" style="416" customWidth="1"/>
    <col min="10499" max="10499" width="9.140625" style="416"/>
    <col min="10500" max="10500" width="12.85546875" style="416" customWidth="1"/>
    <col min="10501" max="10501" width="13.85546875" style="416" customWidth="1"/>
    <col min="10502" max="10502" width="9.140625" style="416"/>
    <col min="10503" max="10503" width="3.7109375" style="416" customWidth="1"/>
    <col min="10504" max="10752" width="9.140625" style="416"/>
    <col min="10753" max="10754" width="3.7109375" style="416" customWidth="1"/>
    <col min="10755" max="10755" width="9.140625" style="416"/>
    <col min="10756" max="10756" width="12.85546875" style="416" customWidth="1"/>
    <col min="10757" max="10757" width="13.85546875" style="416" customWidth="1"/>
    <col min="10758" max="10758" width="9.140625" style="416"/>
    <col min="10759" max="10759" width="3.7109375" style="416" customWidth="1"/>
    <col min="10760" max="11008" width="9.140625" style="416"/>
    <col min="11009" max="11010" width="3.7109375" style="416" customWidth="1"/>
    <col min="11011" max="11011" width="9.140625" style="416"/>
    <col min="11012" max="11012" width="12.85546875" style="416" customWidth="1"/>
    <col min="11013" max="11013" width="13.85546875" style="416" customWidth="1"/>
    <col min="11014" max="11014" width="9.140625" style="416"/>
    <col min="11015" max="11015" width="3.7109375" style="416" customWidth="1"/>
    <col min="11016" max="11264" width="9.140625" style="416"/>
    <col min="11265" max="11266" width="3.7109375" style="416" customWidth="1"/>
    <col min="11267" max="11267" width="9.140625" style="416"/>
    <col min="11268" max="11268" width="12.85546875" style="416" customWidth="1"/>
    <col min="11269" max="11269" width="13.85546875" style="416" customWidth="1"/>
    <col min="11270" max="11270" width="9.140625" style="416"/>
    <col min="11271" max="11271" width="3.7109375" style="416" customWidth="1"/>
    <col min="11272" max="11520" width="9.140625" style="416"/>
    <col min="11521" max="11522" width="3.7109375" style="416" customWidth="1"/>
    <col min="11523" max="11523" width="9.140625" style="416"/>
    <col min="11524" max="11524" width="12.85546875" style="416" customWidth="1"/>
    <col min="11525" max="11525" width="13.85546875" style="416" customWidth="1"/>
    <col min="11526" max="11526" width="9.140625" style="416"/>
    <col min="11527" max="11527" width="3.7109375" style="416" customWidth="1"/>
    <col min="11528" max="11776" width="9.140625" style="416"/>
    <col min="11777" max="11778" width="3.7109375" style="416" customWidth="1"/>
    <col min="11779" max="11779" width="9.140625" style="416"/>
    <col min="11780" max="11780" width="12.85546875" style="416" customWidth="1"/>
    <col min="11781" max="11781" width="13.85546875" style="416" customWidth="1"/>
    <col min="11782" max="11782" width="9.140625" style="416"/>
    <col min="11783" max="11783" width="3.7109375" style="416" customWidth="1"/>
    <col min="11784" max="12032" width="9.140625" style="416"/>
    <col min="12033" max="12034" width="3.7109375" style="416" customWidth="1"/>
    <col min="12035" max="12035" width="9.140625" style="416"/>
    <col min="12036" max="12036" width="12.85546875" style="416" customWidth="1"/>
    <col min="12037" max="12037" width="13.85546875" style="416" customWidth="1"/>
    <col min="12038" max="12038" width="9.140625" style="416"/>
    <col min="12039" max="12039" width="3.7109375" style="416" customWidth="1"/>
    <col min="12040" max="12288" width="9.140625" style="416"/>
    <col min="12289" max="12290" width="3.7109375" style="416" customWidth="1"/>
    <col min="12291" max="12291" width="9.140625" style="416"/>
    <col min="12292" max="12292" width="12.85546875" style="416" customWidth="1"/>
    <col min="12293" max="12293" width="13.85546875" style="416" customWidth="1"/>
    <col min="12294" max="12294" width="9.140625" style="416"/>
    <col min="12295" max="12295" width="3.7109375" style="416" customWidth="1"/>
    <col min="12296" max="12544" width="9.140625" style="416"/>
    <col min="12545" max="12546" width="3.7109375" style="416" customWidth="1"/>
    <col min="12547" max="12547" width="9.140625" style="416"/>
    <col min="12548" max="12548" width="12.85546875" style="416" customWidth="1"/>
    <col min="12549" max="12549" width="13.85546875" style="416" customWidth="1"/>
    <col min="12550" max="12550" width="9.140625" style="416"/>
    <col min="12551" max="12551" width="3.7109375" style="416" customWidth="1"/>
    <col min="12552" max="12800" width="9.140625" style="416"/>
    <col min="12801" max="12802" width="3.7109375" style="416" customWidth="1"/>
    <col min="12803" max="12803" width="9.140625" style="416"/>
    <col min="12804" max="12804" width="12.85546875" style="416" customWidth="1"/>
    <col min="12805" max="12805" width="13.85546875" style="416" customWidth="1"/>
    <col min="12806" max="12806" width="9.140625" style="416"/>
    <col min="12807" max="12807" width="3.7109375" style="416" customWidth="1"/>
    <col min="12808" max="13056" width="9.140625" style="416"/>
    <col min="13057" max="13058" width="3.7109375" style="416" customWidth="1"/>
    <col min="13059" max="13059" width="9.140625" style="416"/>
    <col min="13060" max="13060" width="12.85546875" style="416" customWidth="1"/>
    <col min="13061" max="13061" width="13.85546875" style="416" customWidth="1"/>
    <col min="13062" max="13062" width="9.140625" style="416"/>
    <col min="13063" max="13063" width="3.7109375" style="416" customWidth="1"/>
    <col min="13064" max="13312" width="9.140625" style="416"/>
    <col min="13313" max="13314" width="3.7109375" style="416" customWidth="1"/>
    <col min="13315" max="13315" width="9.140625" style="416"/>
    <col min="13316" max="13316" width="12.85546875" style="416" customWidth="1"/>
    <col min="13317" max="13317" width="13.85546875" style="416" customWidth="1"/>
    <col min="13318" max="13318" width="9.140625" style="416"/>
    <col min="13319" max="13319" width="3.7109375" style="416" customWidth="1"/>
    <col min="13320" max="13568" width="9.140625" style="416"/>
    <col min="13569" max="13570" width="3.7109375" style="416" customWidth="1"/>
    <col min="13571" max="13571" width="9.140625" style="416"/>
    <col min="13572" max="13572" width="12.85546875" style="416" customWidth="1"/>
    <col min="13573" max="13573" width="13.85546875" style="416" customWidth="1"/>
    <col min="13574" max="13574" width="9.140625" style="416"/>
    <col min="13575" max="13575" width="3.7109375" style="416" customWidth="1"/>
    <col min="13576" max="13824" width="9.140625" style="416"/>
    <col min="13825" max="13826" width="3.7109375" style="416" customWidth="1"/>
    <col min="13827" max="13827" width="9.140625" style="416"/>
    <col min="13828" max="13828" width="12.85546875" style="416" customWidth="1"/>
    <col min="13829" max="13829" width="13.85546875" style="416" customWidth="1"/>
    <col min="13830" max="13830" width="9.140625" style="416"/>
    <col min="13831" max="13831" width="3.7109375" style="416" customWidth="1"/>
    <col min="13832" max="14080" width="9.140625" style="416"/>
    <col min="14081" max="14082" width="3.7109375" style="416" customWidth="1"/>
    <col min="14083" max="14083" width="9.140625" style="416"/>
    <col min="14084" max="14084" width="12.85546875" style="416" customWidth="1"/>
    <col min="14085" max="14085" width="13.85546875" style="416" customWidth="1"/>
    <col min="14086" max="14086" width="9.140625" style="416"/>
    <col min="14087" max="14087" width="3.7109375" style="416" customWidth="1"/>
    <col min="14088" max="14336" width="9.140625" style="416"/>
    <col min="14337" max="14338" width="3.7109375" style="416" customWidth="1"/>
    <col min="14339" max="14339" width="9.140625" style="416"/>
    <col min="14340" max="14340" width="12.85546875" style="416" customWidth="1"/>
    <col min="14341" max="14341" width="13.85546875" style="416" customWidth="1"/>
    <col min="14342" max="14342" width="9.140625" style="416"/>
    <col min="14343" max="14343" width="3.7109375" style="416" customWidth="1"/>
    <col min="14344" max="14592" width="9.140625" style="416"/>
    <col min="14593" max="14594" width="3.7109375" style="416" customWidth="1"/>
    <col min="14595" max="14595" width="9.140625" style="416"/>
    <col min="14596" max="14596" width="12.85546875" style="416" customWidth="1"/>
    <col min="14597" max="14597" width="13.85546875" style="416" customWidth="1"/>
    <col min="14598" max="14598" width="9.140625" style="416"/>
    <col min="14599" max="14599" width="3.7109375" style="416" customWidth="1"/>
    <col min="14600" max="14848" width="9.140625" style="416"/>
    <col min="14849" max="14850" width="3.7109375" style="416" customWidth="1"/>
    <col min="14851" max="14851" width="9.140625" style="416"/>
    <col min="14852" max="14852" width="12.85546875" style="416" customWidth="1"/>
    <col min="14853" max="14853" width="13.85546875" style="416" customWidth="1"/>
    <col min="14854" max="14854" width="9.140625" style="416"/>
    <col min="14855" max="14855" width="3.7109375" style="416" customWidth="1"/>
    <col min="14856" max="15104" width="9.140625" style="416"/>
    <col min="15105" max="15106" width="3.7109375" style="416" customWidth="1"/>
    <col min="15107" max="15107" width="9.140625" style="416"/>
    <col min="15108" max="15108" width="12.85546875" style="416" customWidth="1"/>
    <col min="15109" max="15109" width="13.85546875" style="416" customWidth="1"/>
    <col min="15110" max="15110" width="9.140625" style="416"/>
    <col min="15111" max="15111" width="3.7109375" style="416" customWidth="1"/>
    <col min="15112" max="15360" width="9.140625" style="416"/>
    <col min="15361" max="15362" width="3.7109375" style="416" customWidth="1"/>
    <col min="15363" max="15363" width="9.140625" style="416"/>
    <col min="15364" max="15364" width="12.85546875" style="416" customWidth="1"/>
    <col min="15365" max="15365" width="13.85546875" style="416" customWidth="1"/>
    <col min="15366" max="15366" width="9.140625" style="416"/>
    <col min="15367" max="15367" width="3.7109375" style="416" customWidth="1"/>
    <col min="15368" max="15616" width="9.140625" style="416"/>
    <col min="15617" max="15618" width="3.7109375" style="416" customWidth="1"/>
    <col min="15619" max="15619" width="9.140625" style="416"/>
    <col min="15620" max="15620" width="12.85546875" style="416" customWidth="1"/>
    <col min="15621" max="15621" width="13.85546875" style="416" customWidth="1"/>
    <col min="15622" max="15622" width="9.140625" style="416"/>
    <col min="15623" max="15623" width="3.7109375" style="416" customWidth="1"/>
    <col min="15624" max="15872" width="9.140625" style="416"/>
    <col min="15873" max="15874" width="3.7109375" style="416" customWidth="1"/>
    <col min="15875" max="15875" width="9.140625" style="416"/>
    <col min="15876" max="15876" width="12.85546875" style="416" customWidth="1"/>
    <col min="15877" max="15877" width="13.85546875" style="416" customWidth="1"/>
    <col min="15878" max="15878" width="9.140625" style="416"/>
    <col min="15879" max="15879" width="3.7109375" style="416" customWidth="1"/>
    <col min="15880" max="16128" width="9.140625" style="416"/>
    <col min="16129" max="16130" width="3.7109375" style="416" customWidth="1"/>
    <col min="16131" max="16131" width="9.140625" style="416"/>
    <col min="16132" max="16132" width="12.85546875" style="416" customWidth="1"/>
    <col min="16133" max="16133" width="13.85546875" style="416" customWidth="1"/>
    <col min="16134" max="16134" width="9.140625" style="416"/>
    <col min="16135" max="16135" width="3.7109375" style="416" customWidth="1"/>
    <col min="16136" max="16384" width="9.140625" style="416"/>
  </cols>
  <sheetData>
    <row r="1" spans="3:7" ht="15" customHeight="1">
      <c r="D1" s="418"/>
      <c r="E1" s="419"/>
    </row>
    <row r="2" spans="3:7" ht="15" customHeight="1">
      <c r="C2" s="420">
        <v>2019</v>
      </c>
      <c r="D2" s="421" t="s">
        <v>2809</v>
      </c>
      <c r="E2" s="422">
        <v>1.8E-3</v>
      </c>
      <c r="F2" s="423"/>
      <c r="G2" s="424"/>
    </row>
    <row r="3" spans="3:7" ht="15" customHeight="1">
      <c r="C3" s="424"/>
      <c r="D3" s="421" t="s">
        <v>2810</v>
      </c>
      <c r="E3" s="422">
        <v>4.0000000000000002E-4</v>
      </c>
      <c r="F3" s="424"/>
      <c r="G3" s="424"/>
    </row>
    <row r="4" spans="3:7" ht="15" customHeight="1">
      <c r="C4" s="424"/>
      <c r="D4" s="425" t="s">
        <v>2811</v>
      </c>
      <c r="E4" s="426">
        <v>2.0999999999999999E-3</v>
      </c>
      <c r="F4" s="427">
        <f>SUM(E2:E4)</f>
        <v>4.3E-3</v>
      </c>
      <c r="G4" s="424"/>
    </row>
    <row r="5" spans="3:7" ht="15" customHeight="1">
      <c r="C5" s="420">
        <v>2020</v>
      </c>
      <c r="D5" s="428" t="s">
        <v>2812</v>
      </c>
      <c r="E5" s="429">
        <v>3.8E-3</v>
      </c>
      <c r="F5" s="424"/>
      <c r="G5" s="424"/>
    </row>
    <row r="6" spans="3:7" ht="15" customHeight="1">
      <c r="C6" s="424"/>
      <c r="D6" s="421" t="s">
        <v>2813</v>
      </c>
      <c r="E6" s="422">
        <v>3.3E-3</v>
      </c>
      <c r="F6" s="424"/>
      <c r="G6" s="424"/>
    </row>
    <row r="7" spans="3:7" ht="15" customHeight="1">
      <c r="C7" s="424"/>
      <c r="D7" s="421" t="s">
        <v>2814</v>
      </c>
      <c r="E7" s="422">
        <v>2.5999999999999999E-3</v>
      </c>
      <c r="F7" s="424"/>
      <c r="G7" s="424"/>
    </row>
    <row r="8" spans="3:7" ht="15" customHeight="1">
      <c r="C8" s="424"/>
      <c r="D8" s="421" t="s">
        <v>2815</v>
      </c>
      <c r="E8" s="422">
        <v>2.2000000000000001E-3</v>
      </c>
      <c r="F8" s="424"/>
      <c r="G8" s="424"/>
    </row>
    <row r="9" spans="3:7" ht="15" customHeight="1">
      <c r="C9" s="424"/>
      <c r="D9" s="421" t="s">
        <v>2816</v>
      </c>
      <c r="E9" s="422">
        <v>2E-3</v>
      </c>
      <c r="F9" s="424"/>
      <c r="G9" s="424"/>
    </row>
    <row r="10" spans="3:7" ht="15" customHeight="1">
      <c r="C10" s="424"/>
      <c r="D10" s="421" t="s">
        <v>2817</v>
      </c>
      <c r="E10" s="422">
        <v>3.3999999999999998E-3</v>
      </c>
      <c r="F10" s="424"/>
      <c r="G10" s="424"/>
    </row>
    <row r="11" spans="3:7" ht="15" customHeight="1">
      <c r="C11" s="424"/>
      <c r="D11" s="421" t="s">
        <v>2818</v>
      </c>
      <c r="E11" s="422">
        <v>1.17E-2</v>
      </c>
      <c r="F11" s="424"/>
      <c r="G11" s="424"/>
    </row>
    <row r="12" spans="3:7" ht="15" customHeight="1">
      <c r="C12" s="424"/>
      <c r="D12" s="421" t="s">
        <v>2819</v>
      </c>
      <c r="E12" s="422">
        <v>7.1999999999999998E-3</v>
      </c>
      <c r="F12" s="424"/>
      <c r="G12" s="424"/>
    </row>
    <row r="13" spans="3:7" ht="15" customHeight="1">
      <c r="C13" s="424"/>
      <c r="D13" s="421" t="s">
        <v>2820</v>
      </c>
      <c r="E13" s="422">
        <v>1.1599999999999999E-2</v>
      </c>
      <c r="F13" s="424"/>
      <c r="G13" s="424"/>
    </row>
    <row r="14" spans="3:7" ht="15" customHeight="1">
      <c r="C14" s="424"/>
      <c r="D14" s="421" t="s">
        <v>2809</v>
      </c>
      <c r="E14" s="422">
        <v>1.7299999999999999E-2</v>
      </c>
      <c r="F14" s="424"/>
      <c r="G14" s="424"/>
    </row>
    <row r="15" spans="3:7" ht="15" customHeight="1">
      <c r="C15" s="424"/>
      <c r="D15" s="421" t="s">
        <v>2810</v>
      </c>
      <c r="E15" s="422">
        <v>1.2800000000000001E-2</v>
      </c>
      <c r="F15" s="424"/>
      <c r="G15" s="424"/>
    </row>
    <row r="16" spans="3:7" ht="15" customHeight="1">
      <c r="C16" s="424"/>
      <c r="D16" s="425" t="s">
        <v>2811</v>
      </c>
      <c r="E16" s="426">
        <v>7.0000000000000001E-3</v>
      </c>
      <c r="F16" s="427">
        <f>SUM(E5:E16)</f>
        <v>8.4900000000000003E-2</v>
      </c>
      <c r="G16" s="424"/>
    </row>
    <row r="17" spans="3:8" ht="15" customHeight="1">
      <c r="C17" s="420">
        <v>2021</v>
      </c>
      <c r="D17" s="428" t="s">
        <v>2812</v>
      </c>
      <c r="E17" s="429">
        <v>8.8999999999999999E-3</v>
      </c>
      <c r="F17" s="424"/>
      <c r="G17" s="424"/>
    </row>
    <row r="18" spans="3:8" ht="15" customHeight="1">
      <c r="C18" s="424"/>
      <c r="D18" s="421" t="s">
        <v>2813</v>
      </c>
      <c r="E18" s="422">
        <v>1.89E-2</v>
      </c>
      <c r="F18" s="424"/>
      <c r="G18" s="424"/>
    </row>
    <row r="19" spans="3:8" ht="15" customHeight="1">
      <c r="C19" s="424"/>
      <c r="D19" s="421" t="s">
        <v>2814</v>
      </c>
      <c r="E19" s="422">
        <v>1.2999999999999999E-2</v>
      </c>
      <c r="F19" s="424"/>
      <c r="G19" s="424"/>
    </row>
    <row r="20" spans="3:8" ht="15" customHeight="1">
      <c r="C20" s="424"/>
      <c r="D20" s="421" t="s">
        <v>2815</v>
      </c>
      <c r="E20" s="422">
        <v>8.9999999999999993E-3</v>
      </c>
      <c r="F20" s="424"/>
      <c r="G20" s="424"/>
    </row>
    <row r="21" spans="3:8" ht="15" customHeight="1">
      <c r="C21" s="424"/>
      <c r="D21" s="421" t="s">
        <v>2816</v>
      </c>
      <c r="E21" s="422">
        <v>2.2200000000000001E-2</v>
      </c>
      <c r="F21" s="424"/>
      <c r="G21" s="424"/>
    </row>
    <row r="22" spans="3:8" ht="15" customHeight="1">
      <c r="C22" s="424"/>
      <c r="D22" s="421" t="s">
        <v>2817</v>
      </c>
      <c r="E22" s="422">
        <v>2.1600000000000001E-2</v>
      </c>
      <c r="F22" s="430"/>
      <c r="G22" s="424"/>
    </row>
    <row r="23" spans="3:8" ht="15" customHeight="1">
      <c r="C23" s="424"/>
      <c r="D23" s="421" t="s">
        <v>2821</v>
      </c>
      <c r="E23" s="422">
        <v>8.5000000000000006E-3</v>
      </c>
      <c r="F23" s="424"/>
      <c r="G23" s="424"/>
    </row>
    <row r="24" spans="3:8" ht="15" customHeight="1">
      <c r="D24" s="421" t="s">
        <v>2819</v>
      </c>
      <c r="E24" s="422">
        <v>4.5999999999999999E-3</v>
      </c>
    </row>
    <row r="25" spans="3:8" ht="15" customHeight="1">
      <c r="D25" s="421" t="s">
        <v>2820</v>
      </c>
      <c r="E25" s="422">
        <v>5.1000000000000004E-3</v>
      </c>
    </row>
    <row r="26" spans="3:8" ht="15" customHeight="1">
      <c r="D26" s="421" t="s">
        <v>2809</v>
      </c>
      <c r="E26" s="431">
        <v>8.6E-3</v>
      </c>
      <c r="F26" s="432"/>
    </row>
    <row r="27" spans="3:8" ht="15" customHeight="1">
      <c r="D27" s="421" t="s">
        <v>2810</v>
      </c>
      <c r="E27" s="422">
        <v>8.6E-3</v>
      </c>
    </row>
    <row r="28" spans="3:8" ht="15" customHeight="1">
      <c r="D28" s="433" t="s">
        <v>2811</v>
      </c>
      <c r="E28" s="434">
        <v>3.5000000000000001E-3</v>
      </c>
      <c r="F28" s="427">
        <f>SUM(E17:E28)</f>
        <v>0.13249999999999998</v>
      </c>
      <c r="H28" s="435">
        <f>F4+F16+F28</f>
        <v>0.22169999999999998</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4</vt:i4>
      </vt:variant>
    </vt:vector>
  </HeadingPairs>
  <TitlesOfParts>
    <vt:vector size="13" baseType="lpstr">
      <vt:lpstr>CAPA</vt:lpstr>
      <vt:lpstr>ORCA</vt:lpstr>
      <vt:lpstr>Não Financiável</vt:lpstr>
      <vt:lpstr>Financiável</vt:lpstr>
      <vt:lpstr>RESUMO</vt:lpstr>
      <vt:lpstr>CRONOGRAMA</vt:lpstr>
      <vt:lpstr>BDI</vt:lpstr>
      <vt:lpstr>CPU</vt:lpstr>
      <vt:lpstr>INCC-C</vt:lpstr>
      <vt:lpstr>BDI!Area_de_impressao</vt:lpstr>
      <vt:lpstr>CAPA!Area_de_impressao</vt:lpstr>
      <vt:lpstr>CRONOGRAMA!Area_de_impressao</vt:lpstr>
      <vt:lpstr>RESUMO!Area_de_impressao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IDEU</dc:creator>
  <cp:lastModifiedBy>Agostinho Tosto Neto</cp:lastModifiedBy>
  <cp:lastPrinted>2022-02-23T17:14:52Z</cp:lastPrinted>
  <dcterms:created xsi:type="dcterms:W3CDTF">2019-12-11T21:23:40Z</dcterms:created>
  <dcterms:modified xsi:type="dcterms:W3CDTF">2022-02-23T17:53:37Z</dcterms:modified>
</cp:coreProperties>
</file>